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19155" windowHeight="8505" activeTab="8"/>
  </bookViews>
  <sheets>
    <sheet name="Documetation " sheetId="4" r:id="rId1"/>
    <sheet name="Sheet1" sheetId="1" r:id="rId2"/>
    <sheet name="Sheet2" sheetId="2" r:id="rId3"/>
    <sheet name="Sheet3" sheetId="3" r:id="rId4"/>
    <sheet name="Sheet4" sheetId="5" r:id="rId5"/>
    <sheet name="Sheet5" sheetId="6" r:id="rId6"/>
    <sheet name="Sheet6" sheetId="7" r:id="rId7"/>
    <sheet name="Sheet7" sheetId="8" r:id="rId8"/>
    <sheet name="Sheet8" sheetId="9" r:id="rId9"/>
    <sheet name="Sheet9" sheetId="10" r:id="rId10"/>
  </sheets>
  <calcPr calcId="125725"/>
</workbook>
</file>

<file path=xl/calcChain.xml><?xml version="1.0" encoding="utf-8"?>
<calcChain xmlns="http://schemas.openxmlformats.org/spreadsheetml/2006/main">
  <c r="I13" i="6"/>
  <c r="I12"/>
  <c r="I11"/>
  <c r="H12"/>
  <c r="H11"/>
  <c r="G12"/>
  <c r="G11"/>
  <c r="F11"/>
  <c r="H8"/>
  <c r="H9"/>
  <c r="H7"/>
  <c r="H30" i="10"/>
  <c r="H42" s="1"/>
  <c r="H15"/>
  <c r="H10"/>
  <c r="H20" s="1"/>
  <c r="G19" i="9"/>
  <c r="G14"/>
  <c r="G5"/>
  <c r="G15" s="1"/>
  <c r="G18" s="1"/>
  <c r="G20" s="1"/>
  <c r="I5" i="7"/>
  <c r="I4"/>
  <c r="I3"/>
  <c r="I2"/>
  <c r="H6" i="6"/>
  <c r="H5"/>
  <c r="H4"/>
  <c r="I23" i="5"/>
  <c r="I24" s="1"/>
  <c r="H23"/>
  <c r="H24" s="1"/>
  <c r="I22"/>
  <c r="H22"/>
  <c r="I21"/>
  <c r="H21"/>
  <c r="I19"/>
  <c r="H19"/>
  <c r="I18"/>
  <c r="H18"/>
  <c r="I17"/>
  <c r="H17"/>
  <c r="I15"/>
  <c r="H15"/>
  <c r="I14"/>
  <c r="H14"/>
  <c r="I12"/>
  <c r="H12"/>
  <c r="I11"/>
  <c r="H11"/>
  <c r="I9"/>
  <c r="H9"/>
  <c r="I8"/>
  <c r="H8"/>
  <c r="I6"/>
  <c r="H6"/>
  <c r="I5"/>
  <c r="H5"/>
  <c r="J42" i="3"/>
  <c r="J41"/>
  <c r="J39"/>
  <c r="J38"/>
  <c r="J36"/>
  <c r="J35"/>
  <c r="J34"/>
  <c r="J33"/>
  <c r="J32"/>
  <c r="J31"/>
  <c r="J30"/>
  <c r="J29"/>
  <c r="J28"/>
  <c r="J27"/>
  <c r="J26"/>
  <c r="J24"/>
  <c r="J23"/>
  <c r="J22"/>
  <c r="J21"/>
  <c r="J20"/>
  <c r="J19"/>
  <c r="J17"/>
  <c r="J16"/>
  <c r="J15"/>
  <c r="J14"/>
  <c r="J13"/>
  <c r="J12"/>
  <c r="J10"/>
  <c r="J9"/>
  <c r="J8"/>
  <c r="J7"/>
  <c r="J4"/>
  <c r="L90" i="2"/>
  <c r="K90"/>
  <c r="L89"/>
  <c r="K89"/>
  <c r="L88"/>
  <c r="K88"/>
  <c r="L87"/>
  <c r="K87"/>
  <c r="L86"/>
  <c r="K86"/>
  <c r="L85"/>
  <c r="K85"/>
  <c r="L82"/>
  <c r="K82"/>
  <c r="L81"/>
  <c r="K81"/>
  <c r="L80"/>
  <c r="K80"/>
  <c r="L79"/>
  <c r="K79"/>
  <c r="L78"/>
  <c r="K78"/>
  <c r="L77"/>
  <c r="K77"/>
  <c r="L76"/>
  <c r="K76"/>
  <c r="L75"/>
  <c r="K75"/>
  <c r="L74"/>
  <c r="K74"/>
  <c r="L73"/>
  <c r="K73"/>
  <c r="L72"/>
  <c r="K72"/>
  <c r="L68"/>
  <c r="K68"/>
  <c r="L67"/>
  <c r="K67"/>
  <c r="L66"/>
  <c r="K66"/>
  <c r="L64"/>
  <c r="K64"/>
  <c r="L63"/>
  <c r="K63"/>
  <c r="L62"/>
  <c r="K62"/>
  <c r="L61"/>
  <c r="K61"/>
  <c r="L59"/>
  <c r="K59"/>
  <c r="L58"/>
  <c r="K58"/>
  <c r="L57"/>
  <c r="K57"/>
  <c r="L56"/>
  <c r="K56"/>
  <c r="L55"/>
  <c r="K55"/>
  <c r="L54"/>
  <c r="K54"/>
  <c r="K42"/>
  <c r="K41"/>
  <c r="K40"/>
  <c r="K39"/>
  <c r="K38"/>
  <c r="K37"/>
  <c r="K36"/>
  <c r="K33"/>
  <c r="K32"/>
  <c r="K31"/>
  <c r="K30"/>
  <c r="K29"/>
  <c r="K28"/>
  <c r="K27"/>
  <c r="K26"/>
  <c r="K25"/>
  <c r="K24"/>
  <c r="K23"/>
  <c r="K20"/>
  <c r="K19"/>
  <c r="K18"/>
  <c r="K17"/>
  <c r="K15"/>
  <c r="K14"/>
  <c r="K13"/>
  <c r="K12"/>
  <c r="K10"/>
  <c r="K8"/>
  <c r="K7"/>
  <c r="K6"/>
  <c r="K5"/>
  <c r="K32" i="1"/>
  <c r="K35"/>
  <c r="K36"/>
  <c r="K37"/>
  <c r="K38"/>
  <c r="K39"/>
  <c r="K40"/>
  <c r="K41"/>
  <c r="K42"/>
  <c r="K43"/>
  <c r="K44"/>
  <c r="K45"/>
  <c r="K46"/>
  <c r="K47"/>
  <c r="K31"/>
  <c r="J47"/>
  <c r="J46"/>
  <c r="J45"/>
  <c r="J44"/>
  <c r="J43"/>
  <c r="J42"/>
  <c r="J41"/>
  <c r="J40"/>
  <c r="J39"/>
  <c r="J38"/>
  <c r="J37"/>
  <c r="J36"/>
  <c r="J35"/>
  <c r="J32"/>
  <c r="J31"/>
  <c r="J11"/>
  <c r="J12"/>
  <c r="J13"/>
  <c r="J14"/>
  <c r="J15"/>
  <c r="J16"/>
  <c r="J17"/>
  <c r="J18"/>
  <c r="J19"/>
  <c r="J20"/>
  <c r="J21"/>
  <c r="J22"/>
  <c r="J6"/>
  <c r="J7"/>
  <c r="J10"/>
  <c r="J5"/>
</calcChain>
</file>

<file path=xl/sharedStrings.xml><?xml version="1.0" encoding="utf-8"?>
<sst xmlns="http://schemas.openxmlformats.org/spreadsheetml/2006/main" count="346" uniqueCount="212">
  <si>
    <t>REVENUES</t>
  </si>
  <si>
    <t>Sales by Company-operated restaurants</t>
  </si>
  <si>
    <t>Revenues from franchised restaurants</t>
  </si>
  <si>
    <t>Total revenues</t>
  </si>
  <si>
    <t>OPERATING COSTS AND EXPENSES</t>
  </si>
  <si>
    <t>Company-operated restaurant expenses</t>
  </si>
  <si>
    <t>Food &amp; paper</t>
  </si>
  <si>
    <t>Payroll &amp; employee benefits</t>
  </si>
  <si>
    <t>Occupancy &amp; other operating expenses</t>
  </si>
  <si>
    <t>Franchised restaurants-occupancy expenses</t>
  </si>
  <si>
    <t>Selling, general &amp; administrative expenses</t>
  </si>
  <si>
    <t>Other operating (income) expense, net</t>
  </si>
  <si>
    <t>Total operating costs and expenses</t>
  </si>
  <si>
    <t>Operating income</t>
  </si>
  <si>
    <t>Interest expense-net of capitalized interest of $7.1, $9.4 and $14.7</t>
  </si>
  <si>
    <t>Nonoperating (income) expense, net</t>
  </si>
  <si>
    <t>Income before provision for income taxes</t>
  </si>
  <si>
    <t>Provision for income taxes</t>
  </si>
  <si>
    <t>Net income</t>
  </si>
  <si>
    <t>MaCdonald's Consolidated Statement of Income</t>
  </si>
  <si>
    <t>2016 ($ "000,000")</t>
  </si>
  <si>
    <t>2015 ($ "000,000")</t>
  </si>
  <si>
    <t xml:space="preserve">Percentge Change </t>
  </si>
  <si>
    <t xml:space="preserve">McDonald Common Size Income Statement </t>
  </si>
  <si>
    <t>2016(%)</t>
  </si>
  <si>
    <t xml:space="preserve">McDonal Balance Sheet </t>
  </si>
  <si>
    <t>ASSETS</t>
  </si>
  <si>
    <t>Current assets</t>
  </si>
  <si>
    <t>Cash and equivalents</t>
  </si>
  <si>
    <t>Accounts and notes receivable</t>
  </si>
  <si>
    <t>Inventories, at cost, not in excess of market</t>
  </si>
  <si>
    <t>Prepaid expenses and other current assets</t>
  </si>
  <si>
    <t>Assets of businesses held for sale</t>
  </si>
  <si>
    <t>Total current assets</t>
  </si>
  <si>
    <t>Other assets</t>
  </si>
  <si>
    <t>Investments in and advances to affiliates</t>
  </si>
  <si>
    <t>Goodwill</t>
  </si>
  <si>
    <t>Miscellaneous</t>
  </si>
  <si>
    <t>Total other assets</t>
  </si>
  <si>
    <t>Property and equipment</t>
  </si>
  <si>
    <t>Property and equipment, at cost</t>
  </si>
  <si>
    <t>Accumulated depreciation and amortization</t>
  </si>
  <si>
    <t>Net property and equipment</t>
  </si>
  <si>
    <t>Total assets</t>
  </si>
  <si>
    <t>LIABILITIES AND SHAREHOLDERS’ EQUITY</t>
  </si>
  <si>
    <t>Current liabilities</t>
  </si>
  <si>
    <t>Accounts payable</t>
  </si>
  <si>
    <t>Income taxes</t>
  </si>
  <si>
    <t>Other taxes</t>
  </si>
  <si>
    <t>Accrued interest</t>
  </si>
  <si>
    <t>Accrued payroll and other liabilities</t>
  </si>
  <si>
    <t>Current maturities of long-term debt</t>
  </si>
  <si>
    <t>Liabilities of businesses held for sale</t>
  </si>
  <si>
    <t>Total current liabilities</t>
  </si>
  <si>
    <t>Long-term debt</t>
  </si>
  <si>
    <t>Other long-term liabilities</t>
  </si>
  <si>
    <t>Deferred income taxes</t>
  </si>
  <si>
    <t>Shareholders’ equity (deficit)</t>
  </si>
  <si>
    <t>Preferred stock, no par value; authorized – 165.0 million shares; issued – none</t>
  </si>
  <si>
    <t>Common stock, $.01 par value; authorized – 3.5 billion shares; issued – 1,660.6 million shares</t>
  </si>
  <si>
    <t>Retained earnings</t>
  </si>
  <si>
    <t>Additional paid-in capitaL</t>
  </si>
  <si>
    <t>Accumulated other comprehensive income</t>
  </si>
  <si>
    <t>Common stock in treasury, at cost; 841.3 and 753.8 million shares</t>
  </si>
  <si>
    <t>Total shareholders’ equity (deficit)</t>
  </si>
  <si>
    <t>Total liabilities and shareholders’ equity (deficit)</t>
  </si>
  <si>
    <t>Other Assets</t>
  </si>
  <si>
    <t>2016 ($000,000)</t>
  </si>
  <si>
    <t>2015 ($000,000)</t>
  </si>
  <si>
    <t xml:space="preserve">Percentage Change </t>
  </si>
  <si>
    <t>-</t>
  </si>
  <si>
    <t>McDonald Common Size Balance Sheet</t>
  </si>
  <si>
    <t xml:space="preserve">Common Size </t>
  </si>
  <si>
    <t>2016 (%)</t>
  </si>
  <si>
    <t xml:space="preserve">McDonald Cash Flow Statement </t>
  </si>
  <si>
    <t>Operating activities</t>
  </si>
  <si>
    <t>Adjustments to reconcile to cash provided by operations</t>
  </si>
  <si>
    <t>Charges and credits:</t>
  </si>
  <si>
    <t>Depreciation and amortization</t>
  </si>
  <si>
    <t>Share-based compensation</t>
  </si>
  <si>
    <t>Other</t>
  </si>
  <si>
    <t>Changes in working capital items:</t>
  </si>
  <si>
    <t>Accounts receivable</t>
  </si>
  <si>
    <t>Inventories, prepaid expenses and other current assets</t>
  </si>
  <si>
    <t>Other accrued liabilities</t>
  </si>
  <si>
    <t>Cash provided by operations</t>
  </si>
  <si>
    <t>Investing activities</t>
  </si>
  <si>
    <t>Capital expenditures</t>
  </si>
  <si>
    <t>Purchases of restaurant businesses</t>
  </si>
  <si>
    <t>Sales of restaurant businesses</t>
  </si>
  <si>
    <t>Sales of property</t>
  </si>
  <si>
    <t>Cash used for investing activities</t>
  </si>
  <si>
    <t>Financing activities</t>
  </si>
  <si>
    <t>Net short-term borrowings</t>
  </si>
  <si>
    <t>Long-term financing issuances</t>
  </si>
  <si>
    <t>Long-term financing repayments</t>
  </si>
  <si>
    <t>Treasury stock purchases</t>
  </si>
  <si>
    <t>Common stock dividends</t>
  </si>
  <si>
    <t>Proceeds from stock option exercises</t>
  </si>
  <si>
    <t>Excess tax benefit on share-based compensation</t>
  </si>
  <si>
    <t>Cash provided by (used for) financing activities</t>
  </si>
  <si>
    <t>Effect of exchange rates on cash and equivalents</t>
  </si>
  <si>
    <t>Cash and equivalents increase (decrease)</t>
  </si>
  <si>
    <t>Cash balance of businesses held for sale at end of year</t>
  </si>
  <si>
    <t>Cash and equivalents at beginning of year</t>
  </si>
  <si>
    <t>Cash and equivalents at end of year</t>
  </si>
  <si>
    <t>Supplemental cash flow disclosures</t>
  </si>
  <si>
    <t>Interest paid</t>
  </si>
  <si>
    <t>Income taxes paid</t>
  </si>
  <si>
    <t>Financial Ratios Summary</t>
  </si>
  <si>
    <t>1. Liquidity Ratios</t>
  </si>
  <si>
    <t>a. Current Ratio</t>
  </si>
  <si>
    <t>b. Quick Ratio</t>
  </si>
  <si>
    <t xml:space="preserve">Formula </t>
  </si>
  <si>
    <t xml:space="preserve">Current Assets/Current Liabilities </t>
  </si>
  <si>
    <t>urrent Liabilities</t>
  </si>
  <si>
    <t xml:space="preserve">(Current Assets - Invetory )/ Current Liabilities </t>
  </si>
  <si>
    <t xml:space="preserve">2. Asset Management Ratios </t>
  </si>
  <si>
    <t xml:space="preserve">a. Accounts Receivable Turnover </t>
  </si>
  <si>
    <t xml:space="preserve">b. Days Sales Oustanding </t>
  </si>
  <si>
    <t>Sales/Accounts Receivable</t>
  </si>
  <si>
    <t>Accounts Receivable / (Annual Credit Sales/365)</t>
  </si>
  <si>
    <t>3. Inventory Turnover</t>
  </si>
  <si>
    <t>a. Fixed Asset Turnover</t>
  </si>
  <si>
    <t>b. Total Asset Turnover</t>
  </si>
  <si>
    <t xml:space="preserve">4. Debt Management Ratios </t>
  </si>
  <si>
    <t>a. Debt Ratio</t>
  </si>
  <si>
    <t>b. Times Interest Earned Ratio</t>
  </si>
  <si>
    <t>5. Profitability Ratios</t>
  </si>
  <si>
    <t>a. Profit Margin</t>
  </si>
  <si>
    <t>b. Return on Assets (ROA)</t>
  </si>
  <si>
    <t>Sales/Net Fixed Assets</t>
  </si>
  <si>
    <t>Sales/Total Assets</t>
  </si>
  <si>
    <t>Total Liabilities/ Total Assets</t>
  </si>
  <si>
    <t>Earning before Interest and Taxes/ Total Interest Charges</t>
  </si>
  <si>
    <t>Net Income/ Sales</t>
  </si>
  <si>
    <t xml:space="preserve">Net Income/ Total Assets </t>
  </si>
  <si>
    <t>c. Return on Equity (ROE)</t>
  </si>
  <si>
    <t>6. Market Value Ratios</t>
  </si>
  <si>
    <t>a. Price to Earnings Ratio</t>
  </si>
  <si>
    <t xml:space="preserve">b. Cash Flow per Share </t>
  </si>
  <si>
    <t xml:space="preserve">c. Book Value per Share </t>
  </si>
  <si>
    <t>d. Market to Book Ratio</t>
  </si>
  <si>
    <t>Market Price per Share/ Earnings per Share( EPS)</t>
  </si>
  <si>
    <t xml:space="preserve">(Net Income + Depreciation + Amortization)/Average Shares Outstanding </t>
  </si>
  <si>
    <t>(Stockholders' Equity - Preferred Stock)/ Common Shares Outstanding</t>
  </si>
  <si>
    <t>Market Price per Share/ Book Value per Share</t>
  </si>
  <si>
    <t>Net Income/Total Shareholders' Equity</t>
  </si>
  <si>
    <t>WEIGHTED AVERAGE COST OF CAPITAL (WACC)</t>
  </si>
  <si>
    <t>1. The Cost of Debt (Kd)</t>
  </si>
  <si>
    <t>a. Effective Interest Rate</t>
  </si>
  <si>
    <t>b. Effective Tax Rate</t>
  </si>
  <si>
    <t>a. Stock Growth Rate</t>
  </si>
  <si>
    <t>b. Dividend Growth Rate</t>
  </si>
  <si>
    <t>2. The Cost of Common Equity (Ks)</t>
  </si>
  <si>
    <t>3. Weighted Average Cost of Capital (WACC)</t>
  </si>
  <si>
    <t xml:space="preserve">FINANCIAL PERFORMANCE </t>
  </si>
  <si>
    <t>1. Du Point Analysis</t>
  </si>
  <si>
    <t>2. Sustainable Growth Rate</t>
  </si>
  <si>
    <t>3. Price- Earnings-Growth Ratio (PEG)</t>
  </si>
  <si>
    <t>4. Expected Stock Price</t>
  </si>
  <si>
    <t>5. Comments on Value Creation on Shares</t>
  </si>
  <si>
    <t>ASSUMPTION WORKSHEET</t>
  </si>
  <si>
    <t>Interest Expense/(Current Portion of LTD +LTD)</t>
  </si>
  <si>
    <t>Income Taxes/Pretax Income</t>
  </si>
  <si>
    <t>(Current Dividend - Previous Dividend)/Previous Dividend</t>
  </si>
  <si>
    <t>Effective Interest Rate * (1- effective tax rate)</t>
  </si>
  <si>
    <t>Next Dividend/ (Current Price of Stock + g)</t>
  </si>
  <si>
    <t>Profit Margin * Asset Turnover Ratio * Equity Multiplier</t>
  </si>
  <si>
    <t>Return on Equity * Business Retention Rate (beisiness retention rate  = 100% - Dividend rate )</t>
  </si>
  <si>
    <t>Price/ Annual ESPS Growth</t>
  </si>
  <si>
    <t xml:space="preserve">Current Stock Price * PEG </t>
  </si>
  <si>
    <t>Equity Multiplier = Total Assets/ Total Shareholders' Equity (31023.9/-2,204.3 = -14.07)</t>
  </si>
  <si>
    <t xml:space="preserve">1. Sales Growth - depends with the nature of competitition in the market and the strategies that the organizations implement to be competitive in the market. </t>
  </si>
  <si>
    <t xml:space="preserve">2. Cost of Goods Sold - the assumptions here is on accrual. The cost of goods sold also include credit purchases. </t>
  </si>
  <si>
    <t>3. Sales and General Administrative (SG&amp;A) Expenses - the expenses are those really paid by the organiaation. The prepayments and accruals are considered in calculating the actual expenses.</t>
  </si>
  <si>
    <t>4. Effective Tax Rate - the rate of actual tax that the company submits to the tax authority.</t>
  </si>
  <si>
    <t>5. Accounts Receivable Turnover - the assumption here is on accrual accounting.</t>
  </si>
  <si>
    <t xml:space="preserve">6. Inventory Turnover - Inventory includes the raw mayterial, work-in-progress and the finished products. </t>
  </si>
  <si>
    <t>7. Accounts Payable Turnover - assumes accrual accounting.</t>
  </si>
  <si>
    <t xml:space="preserve">8. Dividend Payout Ratio - is soleley determined by the company. </t>
  </si>
  <si>
    <t>Comments:</t>
  </si>
  <si>
    <t xml:space="preserve">The company's income performance had no major changes. The income performance is stagnant. </t>
  </si>
  <si>
    <t xml:space="preserve">The company shows a contant trend on the income and expenses for the two years. There is no significant change in the income and expenses. </t>
  </si>
  <si>
    <t>Comment:</t>
  </si>
  <si>
    <t xml:space="preserve">The shraholders' equity was a deficit for the year 2016. this is brought by excess liabilities to the organization. </t>
  </si>
  <si>
    <t xml:space="preserve">The common size balance sheet indicates the company had a higher lont- term debt and this explains why the shareholders equity is at deficit. </t>
  </si>
  <si>
    <t xml:space="preserve">The company earned significantly on the sale of restaurants. The company has high level of accumulated deffered tax that might affect the profitability of the business for the preceding financial year. </t>
  </si>
  <si>
    <t xml:space="preserve">The company Value Creation on Shares indicates a decline due to the use of debt in financing the company's activities. The cost of borrowing is high and reduces the earnings per share through reduction of income. </t>
  </si>
  <si>
    <t>CONSOLIDATED INCOME STATEMENT FOR THE YEAR ENDED 2016</t>
  </si>
  <si>
    <t xml:space="preserve">Revenues </t>
  </si>
  <si>
    <t>Earnings per common share–basic</t>
  </si>
  <si>
    <t>Earnings per common share–diluted</t>
  </si>
  <si>
    <t>Dividends declared per common share</t>
  </si>
  <si>
    <t>Weighted-average shares outstanding–basic</t>
  </si>
  <si>
    <t>Weighted-average shares outstanding–diluted</t>
  </si>
  <si>
    <t>CONSOLIDATED BALANCE SHEET FOR THE YEAR ENDED 2016</t>
  </si>
  <si>
    <t>Additional paid-in capital</t>
  </si>
  <si>
    <t>PRO-FORMA INCOME STATEMENT</t>
  </si>
  <si>
    <t xml:space="preserve">PRO-FORMA BALANCE SHEET </t>
  </si>
  <si>
    <t>Student Name</t>
  </si>
  <si>
    <t xml:space="preserve">Project Number </t>
  </si>
  <si>
    <t>Total Debt (Current portion of LTD + LTD)</t>
  </si>
  <si>
    <t>Total Stockholders' Equity</t>
  </si>
  <si>
    <t>WACC</t>
  </si>
  <si>
    <t>B/S Amount</t>
  </si>
  <si>
    <t>% Weight</t>
  </si>
  <si>
    <t>Element</t>
  </si>
  <si>
    <t xml:space="preserve">Current stock - Previous stock/ previous stock </t>
  </si>
  <si>
    <t xml:space="preserve">Company Name: McDonald Corporation </t>
  </si>
  <si>
    <t xml:space="preserve">Industry Affiliation : Food Industry </t>
  </si>
  <si>
    <t xml:space="preserve">Stock Ticker Symbol : MCD </t>
  </si>
</sst>
</file>

<file path=xl/styles.xml><?xml version="1.0" encoding="utf-8"?>
<styleSheet xmlns="http://schemas.openxmlformats.org/spreadsheetml/2006/main">
  <numFmts count="1">
    <numFmt numFmtId="8" formatCode="&quot;$&quot;#,##0.00_);[Red]\(&quot;$&quot;#,##0.00\)"/>
  </numFmts>
  <fonts count="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color theme="1"/>
      <name val="Times New Roman"/>
      <family val="2"/>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7" fillId="0" borderId="0"/>
  </cellStyleXfs>
  <cellXfs count="2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2" fontId="6" fillId="0" borderId="0" xfId="0" applyNumberFormat="1" applyFont="1"/>
    <xf numFmtId="2" fontId="5" fillId="0" borderId="0" xfId="0" applyNumberFormat="1" applyFont="1"/>
    <xf numFmtId="4" fontId="6" fillId="0" borderId="0" xfId="0" applyNumberFormat="1" applyFont="1" applyAlignment="1">
      <alignment horizontal="right"/>
    </xf>
    <xf numFmtId="9" fontId="6" fillId="0" borderId="0" xfId="0" applyNumberFormat="1" applyFont="1"/>
    <xf numFmtId="4" fontId="6" fillId="0" borderId="0" xfId="0" applyNumberFormat="1" applyFont="1"/>
    <xf numFmtId="4" fontId="5" fillId="0" borderId="0" xfId="0" applyNumberFormat="1" applyFont="1"/>
    <xf numFmtId="9" fontId="6" fillId="0" borderId="0" xfId="1" applyFont="1"/>
    <xf numFmtId="10" fontId="6" fillId="0" borderId="0" xfId="1" applyNumberFormat="1" applyFont="1"/>
    <xf numFmtId="3" fontId="6" fillId="0" borderId="0" xfId="0" applyNumberFormat="1" applyFont="1"/>
    <xf numFmtId="3" fontId="5" fillId="0" borderId="0" xfId="0" applyNumberFormat="1" applyFont="1"/>
    <xf numFmtId="8" fontId="6" fillId="0" borderId="0" xfId="0" applyNumberFormat="1" applyFont="1"/>
    <xf numFmtId="0" fontId="6" fillId="0" borderId="0" xfId="0" applyNumberFormat="1" applyFont="1"/>
    <xf numFmtId="0" fontId="6" fillId="0" borderId="0" xfId="2" applyFont="1" applyAlignment="1">
      <alignment horizontal="left" indent="1"/>
    </xf>
    <xf numFmtId="0" fontId="6" fillId="0" borderId="0" xfId="2" applyFont="1" applyAlignment="1">
      <alignment horizontal="center"/>
    </xf>
    <xf numFmtId="10" fontId="0" fillId="0" borderId="0" xfId="0" applyNumberFormat="1"/>
    <xf numFmtId="0" fontId="5" fillId="0" borderId="0" xfId="2" applyFont="1" applyAlignment="1">
      <alignment horizontal="left" indent="1"/>
    </xf>
    <xf numFmtId="9" fontId="2" fillId="0" borderId="0" xfId="1" applyFont="1"/>
    <xf numFmtId="0" fontId="3" fillId="0" borderId="0" xfId="0" applyFont="1" applyAlignment="1">
      <alignment horizontal="center"/>
    </xf>
  </cellXfs>
  <cellStyles count="3">
    <cellStyle name="Normal" xfId="0" builtinId="0"/>
    <cellStyle name="Normal 2" xfId="2"/>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D6"/>
  <sheetViews>
    <sheetView workbookViewId="0">
      <selection activeCell="A14" sqref="A14"/>
    </sheetView>
  </sheetViews>
  <sheetFormatPr defaultRowHeight="15"/>
  <cols>
    <col min="1" max="1" width="49.42578125" customWidth="1"/>
  </cols>
  <sheetData>
    <row r="2" spans="1:4" ht="18.75">
      <c r="A2" s="23" t="s">
        <v>200</v>
      </c>
      <c r="B2" s="23"/>
      <c r="C2" s="23"/>
      <c r="D2" s="23"/>
    </row>
    <row r="3" spans="1:4" ht="18.75">
      <c r="A3" s="23" t="s">
        <v>201</v>
      </c>
      <c r="B3" s="23"/>
      <c r="C3" s="23"/>
      <c r="D3" s="23"/>
    </row>
    <row r="4" spans="1:4" ht="18.75">
      <c r="A4" s="23" t="s">
        <v>209</v>
      </c>
      <c r="B4" s="23"/>
      <c r="C4" s="23"/>
      <c r="D4" s="23"/>
    </row>
    <row r="5" spans="1:4" ht="18.75">
      <c r="A5" s="23" t="s">
        <v>210</v>
      </c>
      <c r="B5" s="23"/>
      <c r="C5" s="23"/>
      <c r="D5" s="23"/>
    </row>
    <row r="6" spans="1:4" ht="18.75">
      <c r="A6" s="23" t="s">
        <v>211</v>
      </c>
      <c r="B6" s="23"/>
      <c r="C6" s="23"/>
      <c r="D6" s="2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I44"/>
  <sheetViews>
    <sheetView topLeftCell="A20" workbookViewId="0">
      <selection activeCell="F37" sqref="F37"/>
    </sheetView>
  </sheetViews>
  <sheetFormatPr defaultRowHeight="15"/>
  <cols>
    <col min="6" max="6" width="43.7109375" customWidth="1"/>
    <col min="7" max="7" width="26" customWidth="1"/>
    <col min="8" max="8" width="20.42578125" customWidth="1"/>
  </cols>
  <sheetData>
    <row r="1" spans="1:9" ht="15.75">
      <c r="A1" s="5"/>
      <c r="B1" s="5"/>
      <c r="C1" s="5"/>
      <c r="D1" s="5"/>
      <c r="E1" s="5"/>
      <c r="F1" s="5"/>
      <c r="G1" s="5"/>
      <c r="H1" s="5"/>
      <c r="I1" s="5"/>
    </row>
    <row r="2" spans="1:9" ht="15.75">
      <c r="A2" s="4" t="s">
        <v>196</v>
      </c>
      <c r="B2" s="4"/>
      <c r="C2" s="4"/>
      <c r="D2" s="4"/>
      <c r="E2" s="4"/>
      <c r="F2" s="4"/>
      <c r="G2" s="4"/>
      <c r="H2" s="4" t="s">
        <v>199</v>
      </c>
      <c r="I2" s="4"/>
    </row>
    <row r="3" spans="1:9" ht="15.75">
      <c r="A3" s="4" t="s">
        <v>26</v>
      </c>
      <c r="B3" s="4"/>
      <c r="C3" s="4"/>
      <c r="D3" s="4"/>
      <c r="E3" s="4"/>
      <c r="F3" s="4"/>
      <c r="G3" s="4"/>
      <c r="H3" s="4"/>
      <c r="I3" s="4"/>
    </row>
    <row r="4" spans="1:9" ht="15.75">
      <c r="A4" s="5" t="s">
        <v>27</v>
      </c>
      <c r="B4" s="5"/>
      <c r="C4" s="5"/>
      <c r="D4" s="5"/>
      <c r="E4" s="5"/>
      <c r="F4" s="5"/>
      <c r="G4" s="5"/>
      <c r="H4" s="5"/>
      <c r="I4" s="5"/>
    </row>
    <row r="5" spans="1:9" ht="15.75">
      <c r="A5" s="5" t="s">
        <v>28</v>
      </c>
      <c r="B5" s="5"/>
      <c r="C5" s="5"/>
      <c r="D5" s="5"/>
      <c r="E5" s="5"/>
      <c r="F5" s="5"/>
      <c r="G5" s="10">
        <v>1223.4000000000001</v>
      </c>
      <c r="H5" s="5">
        <v>1500</v>
      </c>
      <c r="I5" s="5"/>
    </row>
    <row r="6" spans="1:9" ht="15.75">
      <c r="A6" s="5" t="s">
        <v>29</v>
      </c>
      <c r="B6" s="5"/>
      <c r="C6" s="5"/>
      <c r="D6" s="5"/>
      <c r="E6" s="5"/>
      <c r="F6" s="5"/>
      <c r="G6" s="10">
        <v>1474.1</v>
      </c>
      <c r="H6" s="5">
        <v>1200</v>
      </c>
      <c r="I6" s="5"/>
    </row>
    <row r="7" spans="1:9" ht="15.75">
      <c r="A7" s="5" t="s">
        <v>30</v>
      </c>
      <c r="B7" s="5"/>
      <c r="C7" s="5"/>
      <c r="D7" s="5"/>
      <c r="E7" s="5"/>
      <c r="F7" s="5"/>
      <c r="G7" s="5">
        <v>58.9</v>
      </c>
      <c r="H7" s="5">
        <v>45</v>
      </c>
      <c r="I7" s="5"/>
    </row>
    <row r="8" spans="1:9" ht="15.75">
      <c r="A8" s="5" t="s">
        <v>31</v>
      </c>
      <c r="B8" s="5"/>
      <c r="C8" s="5"/>
      <c r="D8" s="5"/>
      <c r="E8" s="5"/>
      <c r="F8" s="5"/>
      <c r="G8" s="5">
        <v>565.20000000000005</v>
      </c>
      <c r="H8" s="5">
        <v>785</v>
      </c>
      <c r="I8" s="5"/>
    </row>
    <row r="9" spans="1:9" ht="15.75">
      <c r="A9" s="5" t="s">
        <v>32</v>
      </c>
      <c r="B9" s="5"/>
      <c r="C9" s="5"/>
      <c r="D9" s="5"/>
      <c r="E9" s="5"/>
      <c r="F9" s="5"/>
      <c r="G9" s="10">
        <v>1527</v>
      </c>
      <c r="H9" s="5">
        <v>1200</v>
      </c>
      <c r="I9" s="5"/>
    </row>
    <row r="10" spans="1:9" ht="15.75">
      <c r="A10" s="4" t="s">
        <v>33</v>
      </c>
      <c r="B10" s="4"/>
      <c r="C10" s="4"/>
      <c r="D10" s="4"/>
      <c r="E10" s="4"/>
      <c r="F10" s="4"/>
      <c r="G10" s="11">
        <v>4848.6000000000004</v>
      </c>
      <c r="H10" s="4">
        <f>SUM(H5:H9)</f>
        <v>4730</v>
      </c>
      <c r="I10" s="4"/>
    </row>
    <row r="11" spans="1:9" ht="15.75">
      <c r="A11" s="4" t="s">
        <v>34</v>
      </c>
      <c r="B11" s="4"/>
      <c r="C11" s="4"/>
      <c r="D11" s="4"/>
      <c r="E11" s="4"/>
      <c r="F11" s="4"/>
      <c r="G11" s="4"/>
      <c r="H11" s="4"/>
      <c r="I11" s="4"/>
    </row>
    <row r="12" spans="1:9" ht="15.75">
      <c r="A12" s="5" t="s">
        <v>35</v>
      </c>
      <c r="B12" s="5"/>
      <c r="C12" s="5"/>
      <c r="D12" s="5"/>
      <c r="E12" s="5"/>
      <c r="F12" s="5"/>
      <c r="G12" s="5">
        <v>725.9</v>
      </c>
      <c r="H12" s="5">
        <v>1200</v>
      </c>
      <c r="I12" s="5"/>
    </row>
    <row r="13" spans="1:9" ht="15.75">
      <c r="A13" s="5" t="s">
        <v>36</v>
      </c>
      <c r="B13" s="5"/>
      <c r="C13" s="5"/>
      <c r="D13" s="5"/>
      <c r="E13" s="5"/>
      <c r="F13" s="5"/>
      <c r="G13" s="10">
        <v>2336.5</v>
      </c>
      <c r="H13" s="5">
        <v>2500</v>
      </c>
      <c r="I13" s="5"/>
    </row>
    <row r="14" spans="1:9" ht="15.75">
      <c r="A14" s="5" t="s">
        <v>37</v>
      </c>
      <c r="B14" s="5"/>
      <c r="C14" s="5"/>
      <c r="D14" s="5"/>
      <c r="E14" s="5"/>
      <c r="F14" s="5"/>
      <c r="G14" s="10">
        <v>1855.3</v>
      </c>
      <c r="H14" s="5">
        <v>2000</v>
      </c>
      <c r="I14" s="5"/>
    </row>
    <row r="15" spans="1:9" ht="15.75">
      <c r="A15" s="4" t="s">
        <v>38</v>
      </c>
      <c r="B15" s="4"/>
      <c r="C15" s="4"/>
      <c r="D15" s="4"/>
      <c r="E15" s="4"/>
      <c r="F15" s="4"/>
      <c r="G15" s="11">
        <v>4917.7</v>
      </c>
      <c r="H15" s="4">
        <f>SUM(H12:H14)</f>
        <v>5700</v>
      </c>
      <c r="I15" s="4"/>
    </row>
    <row r="16" spans="1:9" ht="15.75">
      <c r="A16" s="5" t="s">
        <v>39</v>
      </c>
      <c r="B16" s="5"/>
      <c r="C16" s="5"/>
      <c r="D16" s="5"/>
      <c r="E16" s="5"/>
      <c r="F16" s="5"/>
      <c r="G16" s="5"/>
      <c r="H16" s="5"/>
      <c r="I16" s="5"/>
    </row>
    <row r="17" spans="1:9" ht="15.75">
      <c r="A17" s="5" t="s">
        <v>40</v>
      </c>
      <c r="B17" s="5"/>
      <c r="C17" s="5"/>
      <c r="D17" s="5"/>
      <c r="E17" s="5"/>
      <c r="F17" s="5"/>
      <c r="G17" s="10">
        <v>34443.4</v>
      </c>
      <c r="H17" s="14">
        <v>38000</v>
      </c>
      <c r="I17" s="5"/>
    </row>
    <row r="18" spans="1:9" ht="15.75">
      <c r="A18" s="5" t="s">
        <v>41</v>
      </c>
      <c r="B18" s="5"/>
      <c r="C18" s="5"/>
      <c r="D18" s="5"/>
      <c r="E18" s="5"/>
      <c r="F18" s="5"/>
      <c r="G18" s="10">
        <v>-13185.8</v>
      </c>
      <c r="H18" s="14">
        <v>15000</v>
      </c>
      <c r="I18" s="5"/>
    </row>
    <row r="19" spans="1:9" ht="15.75">
      <c r="A19" s="5" t="s">
        <v>42</v>
      </c>
      <c r="B19" s="5"/>
      <c r="C19" s="5"/>
      <c r="D19" s="5"/>
      <c r="E19" s="5"/>
      <c r="F19" s="5"/>
      <c r="G19" s="10">
        <v>21257.599999999999</v>
      </c>
      <c r="H19" s="14">
        <v>28183</v>
      </c>
      <c r="I19" s="5"/>
    </row>
    <row r="20" spans="1:9" ht="15.75">
      <c r="A20" s="5" t="s">
        <v>43</v>
      </c>
      <c r="B20" s="5"/>
      <c r="C20" s="5"/>
      <c r="D20" s="5"/>
      <c r="E20" s="5"/>
      <c r="F20" s="5"/>
      <c r="G20" s="10">
        <v>31023.9</v>
      </c>
      <c r="H20" s="14">
        <f>H10+H15+H19</f>
        <v>38613</v>
      </c>
      <c r="I20" s="5"/>
    </row>
    <row r="21" spans="1:9" ht="15.75">
      <c r="A21" s="4" t="s">
        <v>44</v>
      </c>
      <c r="B21" s="4"/>
      <c r="C21" s="4"/>
      <c r="D21" s="4"/>
      <c r="E21" s="4"/>
      <c r="F21" s="4"/>
      <c r="G21" s="4"/>
      <c r="H21" s="4"/>
      <c r="I21" s="4"/>
    </row>
    <row r="22" spans="1:9" ht="15.75">
      <c r="A22" s="5" t="s">
        <v>45</v>
      </c>
      <c r="B22" s="5"/>
      <c r="C22" s="5"/>
      <c r="D22" s="5"/>
      <c r="E22" s="5"/>
      <c r="F22" s="5"/>
      <c r="G22" s="5"/>
      <c r="H22" s="5"/>
      <c r="I22" s="5"/>
    </row>
    <row r="23" spans="1:9" ht="15.75">
      <c r="A23" s="5" t="s">
        <v>46</v>
      </c>
      <c r="B23" s="5"/>
      <c r="C23" s="5"/>
      <c r="D23" s="5"/>
      <c r="E23" s="5"/>
      <c r="F23" s="5"/>
      <c r="G23" s="5">
        <v>756</v>
      </c>
      <c r="H23" s="5">
        <v>500</v>
      </c>
      <c r="I23" s="5"/>
    </row>
    <row r="24" spans="1:9" ht="15.75">
      <c r="A24" s="5" t="s">
        <v>47</v>
      </c>
      <c r="B24" s="5"/>
      <c r="C24" s="5"/>
      <c r="D24" s="5"/>
      <c r="E24" s="5"/>
      <c r="F24" s="5"/>
      <c r="G24" s="5">
        <v>267.2</v>
      </c>
      <c r="H24" s="5">
        <v>345</v>
      </c>
      <c r="I24" s="5"/>
    </row>
    <row r="25" spans="1:9" ht="15.75">
      <c r="A25" s="5" t="s">
        <v>48</v>
      </c>
      <c r="B25" s="5"/>
      <c r="C25" s="5"/>
      <c r="D25" s="5"/>
      <c r="E25" s="5"/>
      <c r="F25" s="5"/>
      <c r="G25" s="5">
        <v>266.3</v>
      </c>
      <c r="H25" s="5">
        <v>260</v>
      </c>
      <c r="I25" s="5"/>
    </row>
    <row r="26" spans="1:9" ht="15.75">
      <c r="A26" s="5" t="s">
        <v>49</v>
      </c>
      <c r="B26" s="5"/>
      <c r="C26" s="5"/>
      <c r="D26" s="5"/>
      <c r="E26" s="5"/>
      <c r="F26" s="5"/>
      <c r="G26" s="5">
        <v>247.5</v>
      </c>
      <c r="H26" s="5">
        <v>250</v>
      </c>
      <c r="I26" s="5"/>
    </row>
    <row r="27" spans="1:9" ht="15.75">
      <c r="A27" s="5" t="s">
        <v>50</v>
      </c>
      <c r="B27" s="5"/>
      <c r="C27" s="5"/>
      <c r="D27" s="5"/>
      <c r="E27" s="5"/>
      <c r="F27" s="5"/>
      <c r="G27" s="10">
        <v>1159.3</v>
      </c>
      <c r="H27" s="5">
        <v>700</v>
      </c>
      <c r="I27" s="5"/>
    </row>
    <row r="28" spans="1:9" ht="15.75">
      <c r="A28" s="5" t="s">
        <v>51</v>
      </c>
      <c r="B28" s="5"/>
      <c r="C28" s="5"/>
      <c r="D28" s="5"/>
      <c r="E28" s="5"/>
      <c r="F28" s="5"/>
      <c r="G28" s="5">
        <v>77.2</v>
      </c>
      <c r="H28" s="5">
        <v>50</v>
      </c>
      <c r="I28" s="5"/>
    </row>
    <row r="29" spans="1:9" ht="15.75">
      <c r="A29" s="5" t="s">
        <v>52</v>
      </c>
      <c r="B29" s="5"/>
      <c r="C29" s="5"/>
      <c r="D29" s="5"/>
      <c r="E29" s="5"/>
      <c r="F29" s="5"/>
      <c r="G29" s="5">
        <v>694.8</v>
      </c>
      <c r="H29" s="5">
        <v>500</v>
      </c>
      <c r="I29" s="5"/>
    </row>
    <row r="30" spans="1:9" ht="15.75">
      <c r="A30" s="4" t="s">
        <v>53</v>
      </c>
      <c r="B30" s="4"/>
      <c r="C30" s="4"/>
      <c r="D30" s="4"/>
      <c r="E30" s="4"/>
      <c r="F30" s="4"/>
      <c r="G30" s="11">
        <v>3468.3</v>
      </c>
      <c r="H30" s="4">
        <f>SUM(H23:H29)</f>
        <v>2605</v>
      </c>
      <c r="I30" s="4"/>
    </row>
    <row r="31" spans="1:9" ht="15.75">
      <c r="A31" s="5" t="s">
        <v>54</v>
      </c>
      <c r="B31" s="5"/>
      <c r="C31" s="5"/>
      <c r="D31" s="5"/>
      <c r="E31" s="5"/>
      <c r="F31" s="5"/>
      <c r="G31" s="10">
        <v>25878.5</v>
      </c>
      <c r="H31" s="14">
        <v>20000</v>
      </c>
      <c r="I31" s="5"/>
    </row>
    <row r="32" spans="1:9" ht="15.75">
      <c r="A32" s="5" t="s">
        <v>55</v>
      </c>
      <c r="B32" s="5"/>
      <c r="C32" s="5"/>
      <c r="D32" s="5"/>
      <c r="E32" s="5"/>
      <c r="F32" s="5"/>
      <c r="G32" s="10">
        <v>2064.3000000000002</v>
      </c>
      <c r="H32" s="5">
        <v>1800</v>
      </c>
      <c r="I32" s="5"/>
    </row>
    <row r="33" spans="1:9" ht="15.75">
      <c r="A33" s="5" t="s">
        <v>56</v>
      </c>
      <c r="B33" s="5"/>
      <c r="C33" s="5"/>
      <c r="D33" s="5"/>
      <c r="E33" s="5"/>
      <c r="F33" s="5"/>
      <c r="G33" s="10">
        <v>1817.1</v>
      </c>
      <c r="H33" s="5">
        <v>1300</v>
      </c>
      <c r="I33" s="5"/>
    </row>
    <row r="34" spans="1:9" ht="15.75">
      <c r="A34" s="5" t="s">
        <v>57</v>
      </c>
      <c r="B34" s="5"/>
      <c r="C34" s="5"/>
      <c r="D34" s="5"/>
      <c r="E34" s="5"/>
      <c r="F34" s="5"/>
      <c r="G34" s="10">
        <v>0</v>
      </c>
      <c r="H34" s="5">
        <v>0</v>
      </c>
      <c r="I34" s="5"/>
    </row>
    <row r="35" spans="1:9" ht="15.75">
      <c r="A35" s="5" t="s">
        <v>58</v>
      </c>
      <c r="B35" s="5"/>
      <c r="C35" s="5"/>
      <c r="D35" s="5"/>
      <c r="E35" s="5"/>
      <c r="F35" s="5"/>
      <c r="G35" s="10">
        <v>0</v>
      </c>
      <c r="H35" s="5">
        <v>0</v>
      </c>
      <c r="I35" s="5"/>
    </row>
    <row r="36" spans="1:9" ht="15.75">
      <c r="A36" s="5" t="s">
        <v>59</v>
      </c>
      <c r="B36" s="5"/>
      <c r="C36" s="5"/>
      <c r="D36" s="5"/>
      <c r="E36" s="5"/>
      <c r="F36" s="5"/>
      <c r="G36" s="5">
        <v>16.600000000000001</v>
      </c>
      <c r="H36" s="5">
        <v>16.600000000000001</v>
      </c>
      <c r="I36" s="5"/>
    </row>
    <row r="37" spans="1:9" ht="15.75">
      <c r="A37" s="5" t="s">
        <v>197</v>
      </c>
      <c r="B37" s="5"/>
      <c r="C37" s="5"/>
      <c r="D37" s="5"/>
      <c r="E37" s="5"/>
      <c r="F37" s="5"/>
      <c r="G37" s="10">
        <v>6757.9</v>
      </c>
      <c r="H37" s="5">
        <v>7000</v>
      </c>
      <c r="I37" s="5"/>
    </row>
    <row r="38" spans="1:9" ht="15.75">
      <c r="A38" s="5" t="s">
        <v>60</v>
      </c>
      <c r="B38" s="5"/>
      <c r="C38" s="5"/>
      <c r="D38" s="5"/>
      <c r="E38" s="5"/>
      <c r="F38" s="5"/>
      <c r="G38" s="10">
        <v>46222.7</v>
      </c>
      <c r="H38" s="14">
        <v>50000</v>
      </c>
      <c r="I38" s="5"/>
    </row>
    <row r="39" spans="1:9" ht="15.75">
      <c r="A39" s="5" t="s">
        <v>62</v>
      </c>
      <c r="B39" s="5"/>
      <c r="C39" s="5"/>
      <c r="D39" s="5"/>
      <c r="E39" s="5"/>
      <c r="F39" s="5"/>
      <c r="G39" s="10">
        <v>-3092.9</v>
      </c>
      <c r="H39" s="5">
        <v>-2000</v>
      </c>
      <c r="I39" s="5"/>
    </row>
    <row r="40" spans="1:9" ht="15.75">
      <c r="A40" s="5" t="s">
        <v>63</v>
      </c>
      <c r="B40" s="5"/>
      <c r="C40" s="5"/>
      <c r="D40" s="5"/>
      <c r="E40" s="5"/>
      <c r="F40" s="5"/>
      <c r="G40" s="10">
        <v>-52108.6</v>
      </c>
      <c r="H40" s="5">
        <v>-52108.6</v>
      </c>
      <c r="I40" s="5"/>
    </row>
    <row r="41" spans="1:9" ht="15.75">
      <c r="A41" s="5" t="s">
        <v>64</v>
      </c>
      <c r="B41" s="5"/>
      <c r="C41" s="5"/>
      <c r="D41" s="5"/>
      <c r="E41" s="5"/>
      <c r="F41" s="5"/>
      <c r="G41" s="10">
        <v>-2204.3000000000002</v>
      </c>
      <c r="H41" s="14">
        <v>10000</v>
      </c>
      <c r="I41" s="5"/>
    </row>
    <row r="42" spans="1:9" ht="15.75">
      <c r="A42" s="5" t="s">
        <v>65</v>
      </c>
      <c r="B42" s="5"/>
      <c r="C42" s="5"/>
      <c r="D42" s="5"/>
      <c r="E42" s="5"/>
      <c r="F42" s="5"/>
      <c r="G42" s="10">
        <v>31023.9</v>
      </c>
      <c r="H42" s="14">
        <f>H41+H30+H31+H32+H33+H36+H37+H38+H39+H40</f>
        <v>38613.000000000007</v>
      </c>
      <c r="I42" s="5"/>
    </row>
    <row r="43" spans="1:9" ht="15.75">
      <c r="A43" s="5"/>
      <c r="B43" s="5"/>
      <c r="C43" s="5"/>
      <c r="D43" s="5"/>
      <c r="E43" s="5"/>
      <c r="F43" s="5"/>
      <c r="G43" s="5"/>
      <c r="H43" s="5"/>
      <c r="I43" s="5"/>
    </row>
    <row r="44" spans="1:9" ht="15.75">
      <c r="A44" s="5"/>
      <c r="B44" s="5"/>
      <c r="C44" s="5"/>
      <c r="D44" s="5"/>
      <c r="E44" s="5"/>
      <c r="F44" s="5"/>
      <c r="G44" s="5"/>
      <c r="H44" s="5"/>
      <c r="I44"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K311"/>
  <sheetViews>
    <sheetView workbookViewId="0">
      <selection activeCell="E9" sqref="E9"/>
    </sheetView>
  </sheetViews>
  <sheetFormatPr defaultRowHeight="15.75"/>
  <cols>
    <col min="1" max="3" width="9.140625" style="5"/>
    <col min="4" max="4" width="20.7109375" style="5" customWidth="1"/>
    <col min="5" max="5" width="26.7109375" style="5" customWidth="1"/>
    <col min="6" max="6" width="13.7109375" style="5" customWidth="1"/>
    <col min="7" max="7" width="29.140625" style="5" customWidth="1"/>
    <col min="8" max="8" width="18" style="5" customWidth="1"/>
    <col min="9" max="9" width="16.7109375" style="5" customWidth="1"/>
    <col min="10" max="10" width="16.85546875" style="5" customWidth="1"/>
    <col min="11" max="16384" width="9.140625" style="5"/>
  </cols>
  <sheetData>
    <row r="2" spans="1:10" s="3" customFormat="1" ht="18.75">
      <c r="A2" s="2" t="s">
        <v>19</v>
      </c>
    </row>
    <row r="3" spans="1:10">
      <c r="H3" s="5" t="s">
        <v>20</v>
      </c>
      <c r="I3" s="5" t="s">
        <v>21</v>
      </c>
      <c r="J3" s="5" t="s">
        <v>22</v>
      </c>
    </row>
    <row r="4" spans="1:10" s="4" customFormat="1">
      <c r="A4" s="4" t="s">
        <v>0</v>
      </c>
    </row>
    <row r="5" spans="1:10">
      <c r="A5" s="5" t="s">
        <v>1</v>
      </c>
      <c r="H5" s="5">
        <v>15295</v>
      </c>
      <c r="I5" s="5">
        <v>16488.3</v>
      </c>
      <c r="J5" s="6">
        <f>(H5-I5)/I5*100</f>
        <v>-7.2372530824887908</v>
      </c>
    </row>
    <row r="6" spans="1:10">
      <c r="A6" s="5" t="s">
        <v>2</v>
      </c>
      <c r="H6" s="5">
        <v>9326.9</v>
      </c>
      <c r="I6" s="5">
        <v>8924.7000000000007</v>
      </c>
      <c r="J6" s="6">
        <f>(H6-I6)/I6*100</f>
        <v>4.5065940591840503</v>
      </c>
    </row>
    <row r="7" spans="1:10" s="4" customFormat="1">
      <c r="A7" s="4" t="s">
        <v>3</v>
      </c>
      <c r="H7" s="4">
        <v>24621.9</v>
      </c>
      <c r="I7" s="4">
        <v>25413</v>
      </c>
      <c r="J7" s="7">
        <f>(H7-I7)/I7*100</f>
        <v>-3.1129736748907981</v>
      </c>
    </row>
    <row r="8" spans="1:10" s="4" customFormat="1">
      <c r="A8" s="4" t="s">
        <v>4</v>
      </c>
    </row>
    <row r="9" spans="1:10">
      <c r="A9" s="5" t="s">
        <v>5</v>
      </c>
    </row>
    <row r="10" spans="1:10">
      <c r="A10" s="5" t="s">
        <v>6</v>
      </c>
      <c r="H10" s="5">
        <v>4896.8999999999996</v>
      </c>
      <c r="I10" s="5">
        <v>5552.2</v>
      </c>
      <c r="J10" s="6">
        <f>(H10-I10)/I10*100</f>
        <v>-11.802528727351323</v>
      </c>
    </row>
    <row r="11" spans="1:10">
      <c r="A11" s="5" t="s">
        <v>7</v>
      </c>
      <c r="H11" s="8">
        <v>4134.2</v>
      </c>
      <c r="I11" s="5">
        <v>4400</v>
      </c>
      <c r="J11" s="6">
        <f>(H11-I11)/I11*100</f>
        <v>-6.0409090909090946</v>
      </c>
    </row>
    <row r="12" spans="1:10">
      <c r="A12" s="5" t="s">
        <v>8</v>
      </c>
      <c r="H12" s="5">
        <v>3667.7</v>
      </c>
      <c r="I12" s="5">
        <v>4024.7</v>
      </c>
      <c r="J12" s="6">
        <f>(H12-I12)/I12*100</f>
        <v>-8.8702263522747042</v>
      </c>
    </row>
    <row r="13" spans="1:10">
      <c r="A13" s="5" t="s">
        <v>9</v>
      </c>
      <c r="H13" s="5">
        <v>1718.4</v>
      </c>
      <c r="I13" s="5">
        <v>1646.9</v>
      </c>
      <c r="J13" s="6">
        <f>(H13-I13)/I13*100</f>
        <v>4.3414900722569678</v>
      </c>
    </row>
    <row r="14" spans="1:10">
      <c r="A14" s="5" t="s">
        <v>10</v>
      </c>
      <c r="H14" s="5">
        <v>2384.5</v>
      </c>
      <c r="I14" s="5">
        <v>2434.3000000000002</v>
      </c>
      <c r="J14" s="6">
        <f>(H14-I14)/I14*100</f>
        <v>-2.0457626422380226</v>
      </c>
    </row>
    <row r="15" spans="1:10">
      <c r="A15" s="5" t="s">
        <v>11</v>
      </c>
      <c r="H15" s="5">
        <v>75.7</v>
      </c>
      <c r="I15" s="5">
        <v>209.4</v>
      </c>
      <c r="J15" s="6">
        <f>(H15-I15)/I15*100</f>
        <v>-63.849092645654245</v>
      </c>
    </row>
    <row r="16" spans="1:10" s="4" customFormat="1">
      <c r="A16" s="4" t="s">
        <v>12</v>
      </c>
      <c r="H16" s="4">
        <v>16877.400000000001</v>
      </c>
      <c r="I16" s="4">
        <v>18267.5</v>
      </c>
      <c r="J16" s="7">
        <f>(H16-I16)/I16*100</f>
        <v>-7.6096893389900018</v>
      </c>
    </row>
    <row r="17" spans="1:11" s="4" customFormat="1">
      <c r="A17" s="4" t="s">
        <v>13</v>
      </c>
      <c r="H17" s="4">
        <v>7744.5</v>
      </c>
      <c r="I17" s="4">
        <v>7145.5</v>
      </c>
      <c r="J17" s="7">
        <f>(H17-I17)/I17*100</f>
        <v>8.382898327618781</v>
      </c>
    </row>
    <row r="18" spans="1:11">
      <c r="A18" s="5" t="s">
        <v>14</v>
      </c>
      <c r="H18" s="5">
        <v>884.8</v>
      </c>
      <c r="I18" s="5">
        <v>638.29999999999995</v>
      </c>
      <c r="J18" s="6">
        <f>(H18-I18)/I18*100</f>
        <v>38.618204605984651</v>
      </c>
    </row>
    <row r="19" spans="1:11">
      <c r="A19" s="5" t="s">
        <v>15</v>
      </c>
      <c r="H19" s="5">
        <v>-6.3</v>
      </c>
      <c r="I19" s="5">
        <v>-48.5</v>
      </c>
      <c r="J19" s="6">
        <f>(H19-I19)/I19*100</f>
        <v>-87.010309278350519</v>
      </c>
    </row>
    <row r="20" spans="1:11">
      <c r="A20" s="5" t="s">
        <v>16</v>
      </c>
      <c r="H20" s="5">
        <v>6866</v>
      </c>
      <c r="I20" s="5">
        <v>6555.7</v>
      </c>
      <c r="J20" s="6">
        <f>(H20-I20)/I20*100</f>
        <v>4.7332855377762888</v>
      </c>
    </row>
    <row r="21" spans="1:11">
      <c r="A21" s="5" t="s">
        <v>17</v>
      </c>
      <c r="H21" s="5">
        <v>2179.5</v>
      </c>
      <c r="I21" s="5">
        <v>2026.4</v>
      </c>
      <c r="J21" s="6">
        <f>(H21-I21)/I21*100</f>
        <v>7.5552704303197746</v>
      </c>
    </row>
    <row r="22" spans="1:11" s="4" customFormat="1">
      <c r="A22" s="4" t="s">
        <v>18</v>
      </c>
      <c r="H22" s="4">
        <v>4686.5</v>
      </c>
      <c r="I22" s="4">
        <v>4529.3</v>
      </c>
      <c r="J22" s="7">
        <f>(H22-I22)/I22*100</f>
        <v>3.4707349921621402</v>
      </c>
    </row>
    <row r="23" spans="1:11">
      <c r="A23" s="5" t="s">
        <v>181</v>
      </c>
    </row>
    <row r="24" spans="1:11">
      <c r="A24" s="5" t="s">
        <v>182</v>
      </c>
    </row>
    <row r="27" spans="1:11" s="4" customFormat="1">
      <c r="A27" s="4" t="s">
        <v>23</v>
      </c>
    </row>
    <row r="28" spans="1:11">
      <c r="H28" s="5" t="s">
        <v>20</v>
      </c>
      <c r="I28" s="5" t="s">
        <v>21</v>
      </c>
      <c r="J28" s="5" t="s">
        <v>24</v>
      </c>
      <c r="K28" s="9">
        <v>20.149999999999999</v>
      </c>
    </row>
    <row r="29" spans="1:11" s="4" customFormat="1">
      <c r="A29" s="4" t="s">
        <v>0</v>
      </c>
    </row>
    <row r="30" spans="1:11">
      <c r="A30" s="5" t="s">
        <v>1</v>
      </c>
      <c r="H30" s="5">
        <v>15295</v>
      </c>
      <c r="I30" s="5">
        <v>16488.3</v>
      </c>
      <c r="J30" s="9">
        <v>1</v>
      </c>
      <c r="K30" s="9">
        <v>1</v>
      </c>
    </row>
    <row r="31" spans="1:11">
      <c r="A31" s="5" t="s">
        <v>2</v>
      </c>
      <c r="H31" s="5">
        <v>9326.9</v>
      </c>
      <c r="I31" s="5">
        <v>8924.7000000000007</v>
      </c>
      <c r="J31" s="6">
        <f>H31/H30*100</f>
        <v>60.980058842759064</v>
      </c>
      <c r="K31" s="6">
        <f>I31/I30*100</f>
        <v>54.127472207565376</v>
      </c>
    </row>
    <row r="32" spans="1:11" s="4" customFormat="1">
      <c r="A32" s="4" t="s">
        <v>3</v>
      </c>
      <c r="H32" s="4">
        <v>24621.9</v>
      </c>
      <c r="I32" s="4">
        <v>25413</v>
      </c>
      <c r="J32" s="7">
        <f>H32/H31*100</f>
        <v>263.98803460957021</v>
      </c>
      <c r="K32" s="7">
        <f>I32/I30*100</f>
        <v>154.12747220756538</v>
      </c>
    </row>
    <row r="33" spans="1:11" s="4" customFormat="1">
      <c r="A33" s="4" t="s">
        <v>4</v>
      </c>
      <c r="J33" s="7"/>
    </row>
    <row r="34" spans="1:11">
      <c r="A34" s="5" t="s">
        <v>5</v>
      </c>
      <c r="J34" s="6"/>
    </row>
    <row r="35" spans="1:11">
      <c r="A35" s="5" t="s">
        <v>6</v>
      </c>
      <c r="H35" s="5">
        <v>4896.8999999999996</v>
      </c>
      <c r="I35" s="5">
        <v>5552.2</v>
      </c>
      <c r="J35" s="6">
        <f>H35/H30*100</f>
        <v>32.016345210853217</v>
      </c>
      <c r="K35" s="6">
        <f>I35/I30*100</f>
        <v>33.673574595319103</v>
      </c>
    </row>
    <row r="36" spans="1:11">
      <c r="A36" s="5" t="s">
        <v>7</v>
      </c>
      <c r="H36" s="8">
        <v>4134.2</v>
      </c>
      <c r="I36" s="5">
        <v>4400</v>
      </c>
      <c r="J36" s="6">
        <f>H36/H30*100</f>
        <v>27.029748283752859</v>
      </c>
      <c r="K36" s="6">
        <f>I36/I30*100</f>
        <v>26.685589175354647</v>
      </c>
    </row>
    <row r="37" spans="1:11">
      <c r="A37" s="5" t="s">
        <v>8</v>
      </c>
      <c r="H37" s="5">
        <v>3667.7</v>
      </c>
      <c r="I37" s="5">
        <v>4024.7</v>
      </c>
      <c r="J37" s="6">
        <f>H37/H30*100</f>
        <v>23.979731938542006</v>
      </c>
      <c r="K37" s="6">
        <f>I37/I30*100</f>
        <v>24.409429716829507</v>
      </c>
    </row>
    <row r="38" spans="1:11">
      <c r="A38" s="5" t="s">
        <v>9</v>
      </c>
      <c r="H38" s="5">
        <v>1718.4</v>
      </c>
      <c r="I38" s="5">
        <v>1646.9</v>
      </c>
      <c r="J38" s="6">
        <f>H38/H30*100</f>
        <v>11.235044132069303</v>
      </c>
      <c r="K38" s="6">
        <f>I38/I30*100</f>
        <v>9.9882947302026288</v>
      </c>
    </row>
    <row r="39" spans="1:11">
      <c r="A39" s="5" t="s">
        <v>10</v>
      </c>
      <c r="H39" s="5">
        <v>2384.5</v>
      </c>
      <c r="I39" s="5">
        <v>2434.3000000000002</v>
      </c>
      <c r="J39" s="6">
        <f>H39/H30*100</f>
        <v>15.590062111801242</v>
      </c>
      <c r="K39" s="6">
        <f>I39/I30*100</f>
        <v>14.763802211264959</v>
      </c>
    </row>
    <row r="40" spans="1:11">
      <c r="A40" s="5" t="s">
        <v>11</v>
      </c>
      <c r="H40" s="5">
        <v>75.7</v>
      </c>
      <c r="I40" s="5">
        <v>209.4</v>
      </c>
      <c r="J40" s="6">
        <f>H40/H30*100</f>
        <v>0.49493298463550178</v>
      </c>
      <c r="K40" s="6">
        <f>I40/I30*100</f>
        <v>1.2699914484816508</v>
      </c>
    </row>
    <row r="41" spans="1:11">
      <c r="A41" s="5" t="s">
        <v>12</v>
      </c>
      <c r="H41" s="5">
        <v>16877.400000000001</v>
      </c>
      <c r="I41" s="5">
        <v>18267.5</v>
      </c>
      <c r="J41" s="6">
        <f>H41/H30*100</f>
        <v>110.34586466165415</v>
      </c>
      <c r="K41" s="6">
        <f>I41/I30*100</f>
        <v>110.79068187745249</v>
      </c>
    </row>
    <row r="42" spans="1:11" s="4" customFormat="1">
      <c r="A42" s="4" t="s">
        <v>13</v>
      </c>
      <c r="H42" s="4">
        <v>7744.5</v>
      </c>
      <c r="I42" s="4">
        <v>7145.5</v>
      </c>
      <c r="J42" s="7">
        <f>H42/H30*100</f>
        <v>50.634194181104938</v>
      </c>
      <c r="K42" s="7">
        <f>I42/I30*100</f>
        <v>43.336790330112869</v>
      </c>
    </row>
    <row r="43" spans="1:11">
      <c r="A43" s="5" t="s">
        <v>14</v>
      </c>
      <c r="H43" s="5">
        <v>884.8</v>
      </c>
      <c r="I43" s="5">
        <v>638.29999999999995</v>
      </c>
      <c r="J43" s="6">
        <f>H43/H30*100</f>
        <v>5.7848970251716247</v>
      </c>
      <c r="K43" s="6">
        <f>I43/I30*100</f>
        <v>3.8712299024156525</v>
      </c>
    </row>
    <row r="44" spans="1:11">
      <c r="A44" s="5" t="s">
        <v>15</v>
      </c>
      <c r="H44" s="5">
        <v>-6.3</v>
      </c>
      <c r="I44" s="5">
        <v>-48.5</v>
      </c>
      <c r="J44" s="6">
        <f>H44/H30*100</f>
        <v>-4.1189931350114416E-2</v>
      </c>
      <c r="K44" s="6">
        <f>I44/I30*100</f>
        <v>-0.29414797159197736</v>
      </c>
    </row>
    <row r="45" spans="1:11">
      <c r="A45" s="5" t="s">
        <v>16</v>
      </c>
      <c r="H45" s="5">
        <v>6866</v>
      </c>
      <c r="I45" s="5">
        <v>6555.7</v>
      </c>
      <c r="J45" s="6">
        <f>H45/H30*100</f>
        <v>44.890487087283425</v>
      </c>
      <c r="K45" s="6">
        <f>I45/I30*100</f>
        <v>39.759708399289195</v>
      </c>
    </row>
    <row r="46" spans="1:11">
      <c r="A46" s="5" t="s">
        <v>17</v>
      </c>
      <c r="H46" s="5">
        <v>2179.5</v>
      </c>
      <c r="I46" s="5">
        <v>2026.4</v>
      </c>
      <c r="J46" s="6">
        <f>H46/H30*100</f>
        <v>14.249754821837202</v>
      </c>
      <c r="K46" s="6">
        <f>I46/I30*100</f>
        <v>12.289926796576967</v>
      </c>
    </row>
    <row r="47" spans="1:11" s="4" customFormat="1">
      <c r="A47" s="4" t="s">
        <v>18</v>
      </c>
      <c r="H47" s="4">
        <v>4686.5</v>
      </c>
      <c r="I47" s="4">
        <v>4529.3</v>
      </c>
      <c r="J47" s="7">
        <f>H47/H30*100</f>
        <v>30.640732265446225</v>
      </c>
      <c r="K47" s="7">
        <f>I47/I30*100</f>
        <v>27.469781602712228</v>
      </c>
    </row>
    <row r="48" spans="1:11">
      <c r="A48" s="5" t="s">
        <v>181</v>
      </c>
    </row>
    <row r="49" spans="1:1">
      <c r="A49" s="5" t="s">
        <v>183</v>
      </c>
    </row>
    <row r="52" spans="1:1" s="4" customFormat="1"/>
    <row r="61" spans="1:1" s="4" customFormat="1"/>
    <row r="62" spans="1:1" s="4" customFormat="1"/>
    <row r="71" s="4" customFormat="1"/>
    <row r="72" s="4" customFormat="1"/>
    <row r="81" s="4" customFormat="1"/>
    <row r="93" s="4" customFormat="1"/>
    <row r="148" s="4" customFormat="1"/>
    <row r="193" s="4" customFormat="1"/>
    <row r="195" s="4" customFormat="1"/>
    <row r="198" s="4" customFormat="1"/>
    <row r="204" s="4" customFormat="1"/>
    <row r="207" s="4" customFormat="1"/>
    <row r="210" s="4" customFormat="1"/>
    <row r="211" s="4" customFormat="1"/>
    <row r="218" s="4" customFormat="1"/>
    <row r="228" s="4" customFormat="1"/>
    <row r="237" s="4" customFormat="1"/>
    <row r="247" s="4" customFormat="1"/>
    <row r="248" s="4" customFormat="1"/>
    <row r="249" s="4" customFormat="1"/>
    <row r="250" s="4" customFormat="1"/>
    <row r="251" s="4" customFormat="1"/>
    <row r="252" s="4" customFormat="1"/>
    <row r="253" s="4" customFormat="1"/>
    <row r="254" s="4" customFormat="1"/>
    <row r="260" s="4" customFormat="1"/>
    <row r="261" s="4" customFormat="1"/>
    <row r="264" s="4" customFormat="1"/>
    <row r="274" s="4" customFormat="1"/>
    <row r="275" s="4" customFormat="1"/>
    <row r="282" s="4" customFormat="1"/>
    <row r="283" s="4" customFormat="1"/>
    <row r="287" s="4" customFormat="1"/>
    <row r="293" s="4" customFormat="1"/>
    <row r="302" s="4" customFormat="1"/>
    <row r="311" spans="10:10">
      <c r="J311"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M94"/>
  <sheetViews>
    <sheetView topLeftCell="A70" workbookViewId="0">
      <selection activeCell="L58" sqref="L1:L1048576"/>
    </sheetView>
  </sheetViews>
  <sheetFormatPr defaultRowHeight="15"/>
  <cols>
    <col min="9" max="9" width="16.140625" customWidth="1"/>
    <col min="10" max="10" width="19.42578125" customWidth="1"/>
    <col min="11" max="11" width="21" customWidth="1"/>
    <col min="12" max="12" width="20.7109375" customWidth="1"/>
  </cols>
  <sheetData>
    <row r="1" spans="1:13" ht="15.75">
      <c r="A1" s="4" t="s">
        <v>25</v>
      </c>
      <c r="B1" s="4"/>
      <c r="C1" s="4"/>
      <c r="D1" s="4"/>
      <c r="E1" s="4"/>
      <c r="F1" s="4"/>
      <c r="G1" s="4"/>
      <c r="H1" s="4"/>
      <c r="I1" s="4"/>
      <c r="J1" s="4"/>
      <c r="K1" s="4"/>
      <c r="L1" s="4"/>
      <c r="M1" s="4"/>
    </row>
    <row r="2" spans="1:13" ht="15.75">
      <c r="A2" s="5"/>
      <c r="B2" s="5"/>
      <c r="C2" s="5"/>
      <c r="D2" s="5"/>
      <c r="E2" s="5"/>
      <c r="F2" s="5"/>
      <c r="G2" s="5"/>
      <c r="H2" s="5"/>
      <c r="I2" s="5" t="s">
        <v>67</v>
      </c>
      <c r="J2" s="5" t="s">
        <v>68</v>
      </c>
      <c r="K2" s="5" t="s">
        <v>69</v>
      </c>
      <c r="L2" s="5"/>
      <c r="M2" s="5"/>
    </row>
    <row r="3" spans="1:13" ht="15.75">
      <c r="A3" s="4" t="s">
        <v>26</v>
      </c>
      <c r="B3" s="5"/>
      <c r="C3" s="5"/>
      <c r="D3" s="5"/>
      <c r="E3" s="5"/>
      <c r="F3" s="5"/>
      <c r="G3" s="5"/>
      <c r="H3" s="5"/>
      <c r="I3" s="5"/>
      <c r="J3" s="5"/>
      <c r="K3" s="5"/>
      <c r="L3" s="5"/>
      <c r="M3" s="5"/>
    </row>
    <row r="4" spans="1:13" ht="15.75">
      <c r="A4" s="4" t="s">
        <v>27</v>
      </c>
      <c r="B4" s="5"/>
      <c r="C4" s="5"/>
      <c r="D4" s="5"/>
      <c r="E4" s="5"/>
      <c r="F4" s="5"/>
      <c r="G4" s="5"/>
      <c r="H4" s="5"/>
      <c r="I4" s="5"/>
      <c r="J4" s="5"/>
      <c r="K4" s="5"/>
      <c r="L4" s="5"/>
      <c r="M4" s="5"/>
    </row>
    <row r="5" spans="1:13" ht="15.75">
      <c r="A5" s="5" t="s">
        <v>28</v>
      </c>
      <c r="B5" s="5"/>
      <c r="C5" s="5"/>
      <c r="D5" s="5"/>
      <c r="E5" s="5"/>
      <c r="F5" s="5"/>
      <c r="G5" s="5"/>
      <c r="H5" s="5"/>
      <c r="I5" s="10">
        <v>1223.4000000000001</v>
      </c>
      <c r="J5" s="10">
        <v>7685.5</v>
      </c>
      <c r="K5" s="6">
        <f>(I5-J5)/J5*100</f>
        <v>-84.08171231539913</v>
      </c>
      <c r="L5" s="5"/>
      <c r="M5" s="5"/>
    </row>
    <row r="6" spans="1:13" ht="15.75">
      <c r="A6" s="5" t="s">
        <v>29</v>
      </c>
      <c r="B6" s="5"/>
      <c r="C6" s="5"/>
      <c r="D6" s="5"/>
      <c r="E6" s="5"/>
      <c r="F6" s="5"/>
      <c r="G6" s="5"/>
      <c r="H6" s="5"/>
      <c r="I6" s="10">
        <v>1474.1</v>
      </c>
      <c r="J6" s="10">
        <v>1298.7</v>
      </c>
      <c r="K6" s="6">
        <f>(I6-J6)/J6*100</f>
        <v>13.505813505813494</v>
      </c>
      <c r="L6" s="5"/>
      <c r="M6" s="5"/>
    </row>
    <row r="7" spans="1:13" ht="15.75">
      <c r="A7" s="5" t="s">
        <v>30</v>
      </c>
      <c r="B7" s="5"/>
      <c r="C7" s="5"/>
      <c r="D7" s="5"/>
      <c r="E7" s="5"/>
      <c r="F7" s="5"/>
      <c r="G7" s="5"/>
      <c r="H7" s="5"/>
      <c r="I7" s="5">
        <v>58.9</v>
      </c>
      <c r="J7" s="5">
        <v>100.1</v>
      </c>
      <c r="K7" s="6">
        <f>(I7-J7)/J7*100</f>
        <v>-41.158841158841156</v>
      </c>
      <c r="L7" s="5"/>
      <c r="M7" s="5"/>
    </row>
    <row r="8" spans="1:13" ht="15.75">
      <c r="A8" s="5" t="s">
        <v>31</v>
      </c>
      <c r="B8" s="5"/>
      <c r="C8" s="5"/>
      <c r="D8" s="5"/>
      <c r="E8" s="5"/>
      <c r="F8" s="5"/>
      <c r="G8" s="5"/>
      <c r="H8" s="5"/>
      <c r="I8" s="5">
        <v>565.20000000000005</v>
      </c>
      <c r="J8" s="5">
        <v>558.70000000000005</v>
      </c>
      <c r="K8" s="6">
        <f>(I8-J8)/J8*100</f>
        <v>1.1634150706998387</v>
      </c>
      <c r="L8" s="5"/>
      <c r="M8" s="5"/>
    </row>
    <row r="9" spans="1:13" ht="15.75">
      <c r="A9" s="5" t="s">
        <v>32</v>
      </c>
      <c r="B9" s="5"/>
      <c r="C9" s="5"/>
      <c r="D9" s="5"/>
      <c r="E9" s="5"/>
      <c r="F9" s="5"/>
      <c r="G9" s="5"/>
      <c r="H9" s="5"/>
      <c r="I9" s="10">
        <v>1527</v>
      </c>
      <c r="J9" s="5">
        <v>0</v>
      </c>
      <c r="K9" s="5" t="s">
        <v>70</v>
      </c>
      <c r="L9" s="5"/>
      <c r="M9" s="5"/>
    </row>
    <row r="10" spans="1:13" ht="15.75">
      <c r="A10" s="4" t="s">
        <v>33</v>
      </c>
      <c r="B10" s="4"/>
      <c r="C10" s="4"/>
      <c r="D10" s="4"/>
      <c r="E10" s="4"/>
      <c r="F10" s="4"/>
      <c r="G10" s="4"/>
      <c r="H10" s="4"/>
      <c r="I10" s="11">
        <v>4848.6000000000004</v>
      </c>
      <c r="J10" s="11">
        <v>9643</v>
      </c>
      <c r="K10" s="6">
        <f>(I10-J10)/J10*100</f>
        <v>-49.718967126412942</v>
      </c>
      <c r="L10" s="4"/>
      <c r="M10" s="4"/>
    </row>
    <row r="11" spans="1:13" ht="15.75">
      <c r="A11" s="4" t="s">
        <v>66</v>
      </c>
      <c r="B11" s="4"/>
      <c r="C11" s="4"/>
      <c r="D11" s="4"/>
      <c r="E11" s="4"/>
      <c r="F11" s="4"/>
      <c r="G11" s="4"/>
      <c r="H11" s="4"/>
      <c r="I11" s="4"/>
      <c r="J11" s="4"/>
      <c r="K11" s="4"/>
      <c r="L11" s="4"/>
      <c r="M11" s="4"/>
    </row>
    <row r="12" spans="1:13" ht="15.75">
      <c r="A12" s="5" t="s">
        <v>35</v>
      </c>
      <c r="B12" s="5"/>
      <c r="C12" s="5"/>
      <c r="D12" s="5"/>
      <c r="E12" s="5"/>
      <c r="F12" s="5"/>
      <c r="G12" s="5"/>
      <c r="H12" s="5"/>
      <c r="I12" s="5">
        <v>725.9</v>
      </c>
      <c r="J12" s="5">
        <v>792.7</v>
      </c>
      <c r="K12" s="6">
        <f>(I12-J12)/J12*100</f>
        <v>-8.4268954207140236</v>
      </c>
      <c r="L12" s="5"/>
      <c r="M12" s="5"/>
    </row>
    <row r="13" spans="1:13" ht="15.75">
      <c r="A13" s="5" t="s">
        <v>36</v>
      </c>
      <c r="B13" s="5"/>
      <c r="C13" s="5"/>
      <c r="D13" s="5"/>
      <c r="E13" s="5"/>
      <c r="F13" s="5"/>
      <c r="G13" s="5"/>
      <c r="H13" s="5"/>
      <c r="I13" s="10">
        <v>2336.5</v>
      </c>
      <c r="J13" s="10">
        <v>2516.3000000000002</v>
      </c>
      <c r="K13" s="6">
        <f>(I13-J13)/J13*100</f>
        <v>-7.1454119143186485</v>
      </c>
      <c r="L13" s="5"/>
      <c r="M13" s="5"/>
    </row>
    <row r="14" spans="1:13" ht="15.75">
      <c r="A14" s="5" t="s">
        <v>37</v>
      </c>
      <c r="B14" s="5"/>
      <c r="C14" s="5"/>
      <c r="D14" s="5"/>
      <c r="E14" s="5"/>
      <c r="F14" s="5"/>
      <c r="G14" s="5"/>
      <c r="H14" s="5"/>
      <c r="I14" s="10">
        <v>1855.3</v>
      </c>
      <c r="J14" s="10">
        <v>1869.1</v>
      </c>
      <c r="K14" s="6">
        <f>(I14-J14)/J14*100</f>
        <v>-0.73832325718259884</v>
      </c>
      <c r="L14" s="5"/>
      <c r="M14" s="5"/>
    </row>
    <row r="15" spans="1:13" ht="15.75">
      <c r="A15" s="5" t="s">
        <v>38</v>
      </c>
      <c r="B15" s="5"/>
      <c r="C15" s="5"/>
      <c r="D15" s="5"/>
      <c r="E15" s="5"/>
      <c r="F15" s="5"/>
      <c r="G15" s="5"/>
      <c r="H15" s="5"/>
      <c r="I15" s="10">
        <v>4917.7</v>
      </c>
      <c r="J15" s="10">
        <v>5178.1000000000004</v>
      </c>
      <c r="K15" s="6">
        <f>(I15-J15)/J15*100</f>
        <v>-5.0288715938278621</v>
      </c>
      <c r="L15" s="5"/>
      <c r="M15" s="5"/>
    </row>
    <row r="16" spans="1:13" ht="15.75">
      <c r="A16" s="5" t="s">
        <v>39</v>
      </c>
      <c r="B16" s="5"/>
      <c r="C16" s="5"/>
      <c r="D16" s="5"/>
      <c r="E16" s="5"/>
      <c r="F16" s="5"/>
      <c r="G16" s="5"/>
      <c r="H16" s="5"/>
      <c r="I16" s="5"/>
      <c r="J16" s="5"/>
      <c r="K16" s="5"/>
      <c r="L16" s="5"/>
      <c r="M16" s="5"/>
    </row>
    <row r="17" spans="1:13" ht="15.75">
      <c r="A17" s="5" t="s">
        <v>40</v>
      </c>
      <c r="B17" s="5"/>
      <c r="C17" s="5"/>
      <c r="D17" s="5"/>
      <c r="E17" s="5"/>
      <c r="F17" s="5"/>
      <c r="G17" s="5"/>
      <c r="H17" s="5"/>
      <c r="I17" s="10">
        <v>34443.4</v>
      </c>
      <c r="J17" s="10">
        <v>37692.400000000001</v>
      </c>
      <c r="K17" s="6">
        <f>(I17-J17)/I17*100</f>
        <v>-9.432866674021728</v>
      </c>
      <c r="L17" s="5"/>
      <c r="M17" s="5"/>
    </row>
    <row r="18" spans="1:13" ht="15.75">
      <c r="A18" s="5" t="s">
        <v>41</v>
      </c>
      <c r="B18" s="5"/>
      <c r="C18" s="5"/>
      <c r="D18" s="5"/>
      <c r="E18" s="5"/>
      <c r="F18" s="5"/>
      <c r="G18" s="5"/>
      <c r="H18" s="5"/>
      <c r="I18" s="10">
        <v>-13185.8</v>
      </c>
      <c r="J18" s="10">
        <v>-14574.8</v>
      </c>
      <c r="K18" s="6">
        <f>(I18-J18)/I18*100</f>
        <v>-10.534059366894692</v>
      </c>
      <c r="L18" s="5"/>
      <c r="M18" s="5"/>
    </row>
    <row r="19" spans="1:13" ht="15.75">
      <c r="A19" s="5" t="s">
        <v>42</v>
      </c>
      <c r="B19" s="5"/>
      <c r="C19" s="5"/>
      <c r="D19" s="5"/>
      <c r="E19" s="5"/>
      <c r="F19" s="5"/>
      <c r="G19" s="5"/>
      <c r="H19" s="5"/>
      <c r="I19" s="10">
        <v>21257.599999999999</v>
      </c>
      <c r="J19" s="10">
        <v>23117.599999999999</v>
      </c>
      <c r="K19" s="6">
        <f>(I19-J19)/I19*100</f>
        <v>-8.7498118320036138</v>
      </c>
      <c r="L19" s="5"/>
      <c r="M19" s="5"/>
    </row>
    <row r="20" spans="1:13" ht="15.75">
      <c r="A20" s="4" t="s">
        <v>43</v>
      </c>
      <c r="B20" s="4"/>
      <c r="C20" s="4"/>
      <c r="D20" s="4"/>
      <c r="E20" s="4"/>
      <c r="F20" s="4"/>
      <c r="G20" s="4"/>
      <c r="H20" s="4"/>
      <c r="I20" s="11">
        <v>31023.9</v>
      </c>
      <c r="J20" s="11">
        <v>37938.699999999997</v>
      </c>
      <c r="K20" s="6">
        <f>(I20-J20)/I20*100</f>
        <v>-22.288622642543316</v>
      </c>
      <c r="L20" s="4"/>
      <c r="M20" s="4"/>
    </row>
    <row r="21" spans="1:13" ht="15.75">
      <c r="A21" s="4" t="s">
        <v>44</v>
      </c>
      <c r="B21" s="4"/>
      <c r="C21" s="4"/>
      <c r="D21" s="4"/>
      <c r="E21" s="4"/>
      <c r="F21" s="4"/>
      <c r="G21" s="4"/>
      <c r="H21" s="4"/>
      <c r="I21" s="4"/>
      <c r="J21" s="4"/>
      <c r="K21" s="4"/>
      <c r="L21" s="4"/>
      <c r="M21" s="4"/>
    </row>
    <row r="22" spans="1:13" ht="15.75">
      <c r="A22" s="5" t="s">
        <v>45</v>
      </c>
      <c r="B22" s="5"/>
      <c r="C22" s="5"/>
      <c r="D22" s="5"/>
      <c r="E22" s="5"/>
      <c r="F22" s="5"/>
      <c r="G22" s="5"/>
      <c r="H22" s="5"/>
      <c r="I22" s="5"/>
      <c r="J22" s="5"/>
      <c r="K22" s="5"/>
      <c r="L22" s="5"/>
      <c r="M22" s="5"/>
    </row>
    <row r="23" spans="1:13" ht="15.75">
      <c r="A23" s="5" t="s">
        <v>46</v>
      </c>
      <c r="B23" s="5"/>
      <c r="C23" s="5"/>
      <c r="D23" s="5"/>
      <c r="E23" s="5"/>
      <c r="F23" s="5"/>
      <c r="G23" s="5"/>
      <c r="H23" s="5"/>
      <c r="I23" s="5">
        <v>756</v>
      </c>
      <c r="J23" s="5">
        <v>874.7</v>
      </c>
      <c r="K23" s="6">
        <f>(I23-J23)/I23*100</f>
        <v>-15.701058201058208</v>
      </c>
      <c r="L23" s="5"/>
      <c r="M23" s="5"/>
    </row>
    <row r="24" spans="1:13" ht="15.75">
      <c r="A24" s="5" t="s">
        <v>47</v>
      </c>
      <c r="B24" s="5"/>
      <c r="C24" s="5"/>
      <c r="D24" s="5"/>
      <c r="E24" s="5"/>
      <c r="F24" s="5"/>
      <c r="G24" s="5"/>
      <c r="H24" s="5"/>
      <c r="I24" s="5">
        <v>267.2</v>
      </c>
      <c r="J24" s="5">
        <v>154.80000000000001</v>
      </c>
      <c r="K24" s="6">
        <f>(I24-J24)/I24*100</f>
        <v>42.06586826347305</v>
      </c>
      <c r="L24" s="5"/>
      <c r="M24" s="5"/>
    </row>
    <row r="25" spans="1:13" ht="15.75">
      <c r="A25" s="5" t="s">
        <v>48</v>
      </c>
      <c r="B25" s="5"/>
      <c r="C25" s="5"/>
      <c r="D25" s="5"/>
      <c r="E25" s="5"/>
      <c r="F25" s="5"/>
      <c r="G25" s="5"/>
      <c r="H25" s="5"/>
      <c r="I25" s="5">
        <v>266.3</v>
      </c>
      <c r="J25" s="5">
        <v>309</v>
      </c>
      <c r="K25" s="6">
        <f>(I25-J25)/I25*100</f>
        <v>-16.03454750281637</v>
      </c>
      <c r="L25" s="5"/>
      <c r="M25" s="5"/>
    </row>
    <row r="26" spans="1:13" ht="15.75">
      <c r="A26" s="5" t="s">
        <v>49</v>
      </c>
      <c r="B26" s="5"/>
      <c r="C26" s="5"/>
      <c r="D26" s="5"/>
      <c r="E26" s="5"/>
      <c r="F26" s="5"/>
      <c r="G26" s="5"/>
      <c r="H26" s="5"/>
      <c r="I26" s="5">
        <v>247.5</v>
      </c>
      <c r="J26" s="5">
        <v>233.1</v>
      </c>
      <c r="K26" s="6">
        <f>(I26-J26)/I26*100</f>
        <v>5.8181818181818201</v>
      </c>
      <c r="L26" s="5"/>
      <c r="M26" s="5"/>
    </row>
    <row r="27" spans="1:13" ht="15.75">
      <c r="A27" s="5" t="s">
        <v>50</v>
      </c>
      <c r="B27" s="5"/>
      <c r="C27" s="5"/>
      <c r="D27" s="5"/>
      <c r="E27" s="5"/>
      <c r="F27" s="5"/>
      <c r="G27" s="5"/>
      <c r="H27" s="5"/>
      <c r="I27" s="10">
        <v>1159.3</v>
      </c>
      <c r="J27" s="10">
        <v>1378.8</v>
      </c>
      <c r="K27" s="6">
        <f>(I27-J27)/I27*100</f>
        <v>-18.933839385836283</v>
      </c>
      <c r="L27" s="5"/>
      <c r="M27" s="5"/>
    </row>
    <row r="28" spans="1:13" ht="15.75">
      <c r="A28" s="5" t="s">
        <v>51</v>
      </c>
      <c r="B28" s="5"/>
      <c r="C28" s="5"/>
      <c r="D28" s="5"/>
      <c r="E28" s="5"/>
      <c r="F28" s="5"/>
      <c r="G28" s="5"/>
      <c r="H28" s="5"/>
      <c r="I28" s="5">
        <v>77.2</v>
      </c>
      <c r="J28" s="5">
        <v>0</v>
      </c>
      <c r="K28" s="5">
        <f>(I28-J28)/I28*100</f>
        <v>100</v>
      </c>
      <c r="L28" s="5"/>
      <c r="M28" s="5"/>
    </row>
    <row r="29" spans="1:13" ht="15.75">
      <c r="A29" s="5" t="s">
        <v>52</v>
      </c>
      <c r="B29" s="5"/>
      <c r="C29" s="5"/>
      <c r="D29" s="5"/>
      <c r="E29" s="5"/>
      <c r="F29" s="5"/>
      <c r="G29" s="5"/>
      <c r="H29" s="5"/>
      <c r="I29" s="5">
        <v>694.8</v>
      </c>
      <c r="J29" s="5">
        <v>0</v>
      </c>
      <c r="K29" s="5">
        <f>(I29-J29)/I29*100</f>
        <v>100</v>
      </c>
      <c r="L29" s="5"/>
      <c r="M29" s="5"/>
    </row>
    <row r="30" spans="1:13" ht="15.75">
      <c r="A30" s="4" t="s">
        <v>53</v>
      </c>
      <c r="B30" s="4"/>
      <c r="C30" s="4"/>
      <c r="D30" s="4"/>
      <c r="E30" s="4"/>
      <c r="F30" s="4"/>
      <c r="G30" s="4"/>
      <c r="H30" s="4"/>
      <c r="I30" s="11">
        <v>3468.3</v>
      </c>
      <c r="J30" s="11">
        <v>2950.4</v>
      </c>
      <c r="K30" s="6">
        <f>(I30-J30)/I30*100</f>
        <v>14.932387625061272</v>
      </c>
      <c r="L30" s="4"/>
      <c r="M30" s="4"/>
    </row>
    <row r="31" spans="1:13" ht="15.75">
      <c r="A31" s="5" t="s">
        <v>54</v>
      </c>
      <c r="B31" s="5"/>
      <c r="C31" s="5"/>
      <c r="D31" s="5"/>
      <c r="E31" s="5"/>
      <c r="F31" s="5"/>
      <c r="G31" s="5"/>
      <c r="H31" s="5"/>
      <c r="I31" s="10">
        <v>25878.5</v>
      </c>
      <c r="J31" s="10">
        <v>24122.1</v>
      </c>
      <c r="K31" s="6">
        <f>(I31-J31)/I31*100</f>
        <v>6.7871012616650948</v>
      </c>
      <c r="L31" s="5"/>
      <c r="M31" s="5"/>
    </row>
    <row r="32" spans="1:13" ht="15.75">
      <c r="A32" s="5" t="s">
        <v>55</v>
      </c>
      <c r="B32" s="5"/>
      <c r="C32" s="5"/>
      <c r="D32" s="5"/>
      <c r="E32" s="5"/>
      <c r="F32" s="5"/>
      <c r="G32" s="5"/>
      <c r="H32" s="5"/>
      <c r="I32" s="10">
        <v>2064.3000000000002</v>
      </c>
      <c r="J32" s="10">
        <v>2074</v>
      </c>
      <c r="K32" s="6">
        <f>(I32-J32)/I32*100</f>
        <v>-0.46989294191734809</v>
      </c>
      <c r="L32" s="5"/>
      <c r="M32" s="5"/>
    </row>
    <row r="33" spans="1:13" ht="15.75">
      <c r="A33" s="5" t="s">
        <v>56</v>
      </c>
      <c r="B33" s="5"/>
      <c r="C33" s="5"/>
      <c r="D33" s="5"/>
      <c r="E33" s="5"/>
      <c r="F33" s="5"/>
      <c r="G33" s="5"/>
      <c r="H33" s="5"/>
      <c r="I33" s="10">
        <v>1817.1</v>
      </c>
      <c r="J33" s="10">
        <v>1704.3</v>
      </c>
      <c r="K33" s="6">
        <f>(I33-J33)/I33*100</f>
        <v>6.2076935776787172</v>
      </c>
      <c r="L33" s="5"/>
      <c r="M33" s="5"/>
    </row>
    <row r="34" spans="1:13" ht="15.75">
      <c r="A34" s="5" t="s">
        <v>57</v>
      </c>
      <c r="B34" s="5"/>
      <c r="C34" s="5"/>
      <c r="D34" s="5"/>
      <c r="E34" s="5"/>
      <c r="F34" s="5"/>
      <c r="G34" s="5"/>
      <c r="H34" s="5"/>
      <c r="I34" s="5"/>
      <c r="J34" s="5"/>
      <c r="K34" s="5"/>
      <c r="L34" s="5"/>
      <c r="M34" s="5"/>
    </row>
    <row r="35" spans="1:13" ht="15.75">
      <c r="A35" s="5" t="s">
        <v>58</v>
      </c>
      <c r="B35" s="5"/>
      <c r="C35" s="5"/>
      <c r="D35" s="5"/>
      <c r="E35" s="5"/>
      <c r="F35" s="5"/>
      <c r="G35" s="5"/>
      <c r="H35" s="5"/>
      <c r="I35" s="5"/>
      <c r="J35" s="5"/>
      <c r="K35" s="5"/>
      <c r="L35" s="5"/>
      <c r="M35" s="5"/>
    </row>
    <row r="36" spans="1:13" ht="15.75">
      <c r="A36" s="5" t="s">
        <v>59</v>
      </c>
      <c r="B36" s="5"/>
      <c r="C36" s="5"/>
      <c r="D36" s="5"/>
      <c r="E36" s="5"/>
      <c r="F36" s="5"/>
      <c r="G36" s="5"/>
      <c r="H36" s="5"/>
      <c r="I36" s="5">
        <v>16.600000000000001</v>
      </c>
      <c r="J36" s="5">
        <v>16.600000000000001</v>
      </c>
      <c r="K36" s="5">
        <f>(I36-J36)/J36*100</f>
        <v>0</v>
      </c>
      <c r="L36" s="5"/>
      <c r="M36" s="5"/>
    </row>
    <row r="37" spans="1:13" ht="15.75">
      <c r="A37" s="5" t="s">
        <v>61</v>
      </c>
      <c r="B37" s="5"/>
      <c r="C37" s="5"/>
      <c r="D37" s="5"/>
      <c r="E37" s="5"/>
      <c r="F37" s="5"/>
      <c r="G37" s="5"/>
      <c r="H37" s="5"/>
      <c r="I37" s="10">
        <v>6757.9</v>
      </c>
      <c r="J37" s="10">
        <v>6533.4</v>
      </c>
      <c r="K37" s="6">
        <f>(I37-J37)/J37*100</f>
        <v>3.4361894266385038</v>
      </c>
      <c r="L37" s="5"/>
      <c r="M37" s="5"/>
    </row>
    <row r="38" spans="1:13" ht="15.75">
      <c r="A38" s="5" t="s">
        <v>60</v>
      </c>
      <c r="B38" s="5"/>
      <c r="C38" s="5"/>
      <c r="D38" s="5"/>
      <c r="E38" s="5"/>
      <c r="F38" s="5"/>
      <c r="G38" s="5"/>
      <c r="H38" s="5"/>
      <c r="I38" s="10">
        <v>46222.7</v>
      </c>
      <c r="J38" s="10">
        <v>44594.5</v>
      </c>
      <c r="K38" s="6">
        <f>(I38-J38)/J38*100</f>
        <v>3.6511228963212883</v>
      </c>
      <c r="L38" s="5"/>
      <c r="M38" s="5"/>
    </row>
    <row r="39" spans="1:13" ht="15.75">
      <c r="A39" s="5" t="s">
        <v>62</v>
      </c>
      <c r="B39" s="5"/>
      <c r="C39" s="5"/>
      <c r="D39" s="5"/>
      <c r="E39" s="5"/>
      <c r="F39" s="5"/>
      <c r="G39" s="5"/>
      <c r="H39" s="5"/>
      <c r="I39" s="10">
        <v>-3092.9</v>
      </c>
      <c r="J39" s="10">
        <v>-2879.8</v>
      </c>
      <c r="K39" s="6">
        <f>(I39-J39)/J39*100</f>
        <v>7.3998194319049899</v>
      </c>
      <c r="L39" s="5"/>
      <c r="M39" s="5"/>
    </row>
    <row r="40" spans="1:13" ht="15.75">
      <c r="A40" s="5" t="s">
        <v>63</v>
      </c>
      <c r="B40" s="5"/>
      <c r="C40" s="5"/>
      <c r="D40" s="5"/>
      <c r="E40" s="5"/>
      <c r="F40" s="5"/>
      <c r="G40" s="5"/>
      <c r="H40" s="5"/>
      <c r="I40" s="10">
        <v>-52108.6</v>
      </c>
      <c r="J40" s="10">
        <v>-41176.800000000003</v>
      </c>
      <c r="K40" s="6">
        <f>(I40-J40)/J40*100</f>
        <v>26.548444755299087</v>
      </c>
      <c r="L40" s="5"/>
      <c r="M40" s="5"/>
    </row>
    <row r="41" spans="1:13" ht="15.75">
      <c r="A41" s="5" t="s">
        <v>64</v>
      </c>
      <c r="B41" s="5"/>
      <c r="C41" s="5"/>
      <c r="D41" s="5"/>
      <c r="E41" s="5"/>
      <c r="F41" s="5"/>
      <c r="G41" s="5"/>
      <c r="H41" s="5"/>
      <c r="I41" s="10">
        <v>-2204.3000000000002</v>
      </c>
      <c r="J41" s="10">
        <v>7087.9</v>
      </c>
      <c r="K41" s="6">
        <f>(I41-J41)/J41*100</f>
        <v>-131.09947939446101</v>
      </c>
      <c r="L41" s="5"/>
      <c r="M41" s="5"/>
    </row>
    <row r="42" spans="1:13" ht="15.75">
      <c r="A42" s="4" t="s">
        <v>65</v>
      </c>
      <c r="B42" s="4"/>
      <c r="C42" s="4"/>
      <c r="D42" s="4"/>
      <c r="E42" s="4"/>
      <c r="F42" s="4"/>
      <c r="G42" s="4"/>
      <c r="H42" s="4"/>
      <c r="I42" s="11">
        <v>31023.9</v>
      </c>
      <c r="J42" s="11">
        <v>37938.699999999997</v>
      </c>
      <c r="K42" s="6">
        <f>(I42-J42)/J42*100</f>
        <v>-18.226243914525263</v>
      </c>
      <c r="L42" s="4"/>
      <c r="M42" s="4"/>
    </row>
    <row r="43" spans="1:13" ht="15.75">
      <c r="A43" s="5" t="s">
        <v>184</v>
      </c>
      <c r="B43" s="5"/>
      <c r="C43" s="5"/>
      <c r="D43" s="5"/>
      <c r="E43" s="5"/>
      <c r="F43" s="5"/>
      <c r="G43" s="5"/>
      <c r="H43" s="5"/>
      <c r="I43" s="5"/>
      <c r="J43" s="5"/>
      <c r="K43" s="5"/>
      <c r="L43" s="5"/>
      <c r="M43" s="5"/>
    </row>
    <row r="44" spans="1:13" ht="15.75">
      <c r="A44" s="5" t="s">
        <v>185</v>
      </c>
      <c r="B44" s="5"/>
      <c r="C44" s="5"/>
      <c r="D44" s="5"/>
      <c r="E44" s="5"/>
      <c r="F44" s="5"/>
      <c r="G44" s="5"/>
      <c r="H44" s="5"/>
      <c r="I44" s="5"/>
      <c r="J44" s="5"/>
      <c r="K44" s="5"/>
      <c r="L44" s="5"/>
      <c r="M44" s="5"/>
    </row>
    <row r="45" spans="1:13" ht="15.75">
      <c r="A45" s="5"/>
      <c r="B45" s="5"/>
      <c r="C45" s="5"/>
      <c r="D45" s="5"/>
      <c r="E45" s="5"/>
      <c r="F45" s="5"/>
      <c r="G45" s="5"/>
      <c r="H45" s="5"/>
      <c r="I45" s="5"/>
      <c r="J45" s="5"/>
      <c r="K45" s="5"/>
      <c r="L45" s="5"/>
      <c r="M45" s="5"/>
    </row>
    <row r="46" spans="1:13" ht="15.75">
      <c r="A46" s="5"/>
      <c r="B46" s="5"/>
      <c r="C46" s="5"/>
      <c r="D46" s="5"/>
      <c r="E46" s="5"/>
      <c r="F46" s="5"/>
      <c r="G46" s="5"/>
      <c r="H46" s="5"/>
      <c r="I46" s="5"/>
      <c r="J46" s="5"/>
      <c r="K46" s="5"/>
      <c r="L46" s="5"/>
      <c r="M46" s="5"/>
    </row>
    <row r="47" spans="1:13" ht="15.75">
      <c r="A47" s="5"/>
      <c r="B47" s="5"/>
      <c r="C47" s="5"/>
      <c r="D47" s="5"/>
      <c r="E47" s="5"/>
      <c r="F47" s="5"/>
      <c r="G47" s="5"/>
      <c r="H47" s="5"/>
      <c r="I47" s="5"/>
      <c r="J47" s="5"/>
      <c r="K47" s="5"/>
      <c r="L47" s="5"/>
      <c r="M47" s="5"/>
    </row>
    <row r="48" spans="1:13" ht="15.75">
      <c r="A48" s="5"/>
      <c r="B48" s="5"/>
      <c r="C48" s="5"/>
      <c r="D48" s="5"/>
      <c r="E48" s="5"/>
      <c r="F48" s="5"/>
      <c r="G48" s="5"/>
      <c r="H48" s="5"/>
      <c r="I48" s="5"/>
      <c r="J48" s="5"/>
      <c r="K48" s="5"/>
      <c r="L48" s="5"/>
      <c r="M48" s="5"/>
    </row>
    <row r="49" spans="1:13" ht="15.75">
      <c r="A49" s="4" t="s">
        <v>71</v>
      </c>
      <c r="B49" s="5"/>
      <c r="C49" s="5"/>
      <c r="D49" s="5"/>
      <c r="E49" s="5"/>
      <c r="F49" s="5"/>
      <c r="G49" s="5"/>
      <c r="H49" s="5"/>
      <c r="I49" s="5"/>
      <c r="J49" s="5"/>
      <c r="K49" s="5"/>
      <c r="L49" s="5"/>
      <c r="M49" s="5"/>
    </row>
    <row r="50" spans="1:13" ht="15.75">
      <c r="A50" s="5"/>
      <c r="B50" s="5"/>
      <c r="C50" s="5"/>
      <c r="D50" s="5"/>
      <c r="E50" s="5"/>
      <c r="F50" s="5"/>
      <c r="G50" s="5"/>
      <c r="H50" s="5"/>
      <c r="I50" s="5"/>
      <c r="J50" s="5"/>
      <c r="K50" s="4" t="s">
        <v>72</v>
      </c>
      <c r="L50" s="5"/>
      <c r="M50" s="5"/>
    </row>
    <row r="51" spans="1:13" ht="15.75">
      <c r="A51" s="5"/>
      <c r="B51" s="5"/>
      <c r="C51" s="5"/>
      <c r="D51" s="5"/>
      <c r="E51" s="5"/>
      <c r="F51" s="5"/>
      <c r="G51" s="5"/>
      <c r="H51" s="5"/>
      <c r="I51" s="5" t="s">
        <v>67</v>
      </c>
      <c r="J51" s="5" t="s">
        <v>68</v>
      </c>
      <c r="K51" s="5" t="s">
        <v>73</v>
      </c>
      <c r="L51" s="5" t="s">
        <v>73</v>
      </c>
      <c r="M51" s="5"/>
    </row>
    <row r="52" spans="1:13" ht="15.75">
      <c r="A52" s="4" t="s">
        <v>26</v>
      </c>
      <c r="B52" s="5"/>
      <c r="C52" s="5"/>
      <c r="D52" s="5"/>
      <c r="E52" s="5"/>
      <c r="F52" s="5"/>
      <c r="G52" s="5"/>
      <c r="H52" s="5"/>
      <c r="I52" s="5"/>
      <c r="J52" s="5"/>
      <c r="K52" s="5"/>
      <c r="L52" s="5"/>
      <c r="M52" s="5"/>
    </row>
    <row r="53" spans="1:13" ht="15.75">
      <c r="A53" s="4" t="s">
        <v>27</v>
      </c>
      <c r="B53" s="5"/>
      <c r="C53" s="5"/>
      <c r="D53" s="5"/>
      <c r="E53" s="5"/>
      <c r="F53" s="5"/>
      <c r="G53" s="5"/>
      <c r="H53" s="5"/>
      <c r="I53" s="5"/>
      <c r="J53" s="5"/>
      <c r="K53" s="5"/>
      <c r="L53" s="5"/>
      <c r="M53" s="5"/>
    </row>
    <row r="54" spans="1:13" ht="15.75">
      <c r="A54" s="5" t="s">
        <v>28</v>
      </c>
      <c r="B54" s="5"/>
      <c r="C54" s="5"/>
      <c r="D54" s="5"/>
      <c r="E54" s="5"/>
      <c r="F54" s="5"/>
      <c r="G54" s="5"/>
      <c r="H54" s="5"/>
      <c r="I54" s="10">
        <v>1223.4000000000001</v>
      </c>
      <c r="J54" s="10">
        <v>7685.5</v>
      </c>
      <c r="K54" s="6">
        <f>I54/I69*100</f>
        <v>3.9434113699438176</v>
      </c>
      <c r="L54" s="6">
        <f>J54/J69*100</f>
        <v>20.257678834540986</v>
      </c>
      <c r="M54" s="5"/>
    </row>
    <row r="55" spans="1:13" ht="15.75">
      <c r="A55" s="5" t="s">
        <v>29</v>
      </c>
      <c r="B55" s="5"/>
      <c r="C55" s="5"/>
      <c r="D55" s="5"/>
      <c r="E55" s="5"/>
      <c r="F55" s="5"/>
      <c r="G55" s="5"/>
      <c r="H55" s="5"/>
      <c r="I55" s="10">
        <v>1474.1</v>
      </c>
      <c r="J55" s="10">
        <v>1298.7</v>
      </c>
      <c r="K55" s="6">
        <f>I55/I69*100</f>
        <v>4.7514980386089434</v>
      </c>
      <c r="L55" s="6">
        <f>J55/J69*100</f>
        <v>3.4231536663090729</v>
      </c>
      <c r="M55" s="5"/>
    </row>
    <row r="56" spans="1:13" ht="15.75">
      <c r="A56" s="5" t="s">
        <v>30</v>
      </c>
      <c r="B56" s="5"/>
      <c r="C56" s="5"/>
      <c r="D56" s="5"/>
      <c r="E56" s="5"/>
      <c r="F56" s="5"/>
      <c r="G56" s="5"/>
      <c r="H56" s="5"/>
      <c r="I56" s="5">
        <v>58.9</v>
      </c>
      <c r="J56" s="5">
        <v>100.1</v>
      </c>
      <c r="K56" s="6">
        <f>I56/I69*100</f>
        <v>0.18985362897636981</v>
      </c>
      <c r="L56" s="6">
        <f>J56/J69*100</f>
        <v>0.26384667898478337</v>
      </c>
      <c r="M56" s="5"/>
    </row>
    <row r="57" spans="1:13" ht="15.75">
      <c r="A57" s="5" t="s">
        <v>31</v>
      </c>
      <c r="B57" s="5"/>
      <c r="C57" s="5"/>
      <c r="D57" s="5"/>
      <c r="E57" s="5"/>
      <c r="F57" s="5"/>
      <c r="G57" s="5"/>
      <c r="H57" s="5"/>
      <c r="I57" s="5">
        <v>565.20000000000005</v>
      </c>
      <c r="J57" s="5">
        <v>558.70000000000005</v>
      </c>
      <c r="K57" s="6">
        <f>I57/I69*100</f>
        <v>1.8218212410431958</v>
      </c>
      <c r="L57" s="6">
        <f>J57/J69*100</f>
        <v>1.4726387567312536</v>
      </c>
      <c r="M57" s="5"/>
    </row>
    <row r="58" spans="1:13" ht="15.75">
      <c r="A58" s="5" t="s">
        <v>32</v>
      </c>
      <c r="B58" s="5"/>
      <c r="C58" s="5"/>
      <c r="D58" s="5"/>
      <c r="E58" s="5"/>
      <c r="F58" s="5"/>
      <c r="G58" s="5"/>
      <c r="H58" s="5"/>
      <c r="I58" s="10">
        <v>1527</v>
      </c>
      <c r="J58" s="5">
        <v>0</v>
      </c>
      <c r="K58" s="6">
        <f>I58/I69*100</f>
        <v>4.9220117393364466</v>
      </c>
      <c r="L58" s="5">
        <f>J58/J69*100</f>
        <v>0</v>
      </c>
      <c r="M58" s="5"/>
    </row>
    <row r="59" spans="1:13" ht="15.75">
      <c r="A59" s="4" t="s">
        <v>33</v>
      </c>
      <c r="B59" s="4"/>
      <c r="C59" s="4"/>
      <c r="D59" s="4"/>
      <c r="E59" s="4"/>
      <c r="F59" s="4"/>
      <c r="G59" s="4"/>
      <c r="H59" s="4"/>
      <c r="I59" s="11">
        <v>4848.6000000000004</v>
      </c>
      <c r="J59" s="11">
        <v>9643</v>
      </c>
      <c r="K59" s="6">
        <f>I59/I69*100</f>
        <v>15.628596017908775</v>
      </c>
      <c r="L59" s="6">
        <f>J59/J69*100</f>
        <v>25.417317936566093</v>
      </c>
      <c r="M59" s="5"/>
    </row>
    <row r="60" spans="1:13" ht="15.75">
      <c r="A60" s="4" t="s">
        <v>66</v>
      </c>
      <c r="B60" s="4"/>
      <c r="C60" s="4"/>
      <c r="D60" s="4"/>
      <c r="E60" s="4"/>
      <c r="F60" s="4"/>
      <c r="G60" s="4"/>
      <c r="H60" s="4"/>
      <c r="I60" s="4"/>
      <c r="J60" s="4"/>
      <c r="K60" s="12"/>
      <c r="L60" s="5"/>
      <c r="M60" s="5"/>
    </row>
    <row r="61" spans="1:13" ht="15.75">
      <c r="A61" s="5" t="s">
        <v>35</v>
      </c>
      <c r="B61" s="5"/>
      <c r="C61" s="5"/>
      <c r="D61" s="5"/>
      <c r="E61" s="5"/>
      <c r="F61" s="5"/>
      <c r="G61" s="5"/>
      <c r="H61" s="5"/>
      <c r="I61" s="5">
        <v>725.9</v>
      </c>
      <c r="J61" s="5">
        <v>792.7</v>
      </c>
      <c r="K61" s="6">
        <f>I61/I69*100</f>
        <v>2.3398089859753286</v>
      </c>
      <c r="L61" s="6">
        <f>J61/J69*100</f>
        <v>2.0894232011112663</v>
      </c>
      <c r="M61" s="5"/>
    </row>
    <row r="62" spans="1:13" ht="15.75">
      <c r="A62" s="5" t="s">
        <v>36</v>
      </c>
      <c r="B62" s="5"/>
      <c r="C62" s="5"/>
      <c r="D62" s="5"/>
      <c r="E62" s="5"/>
      <c r="F62" s="5"/>
      <c r="G62" s="5"/>
      <c r="H62" s="5"/>
      <c r="I62" s="10">
        <v>2336.5</v>
      </c>
      <c r="J62" s="10">
        <v>2516.3000000000002</v>
      </c>
      <c r="K62" s="6">
        <f>I62/I69*100</f>
        <v>7.5312903922459773</v>
      </c>
      <c r="L62" s="6">
        <f>J62/J69*100</f>
        <v>6.6325414418522524</v>
      </c>
      <c r="M62" s="5"/>
    </row>
    <row r="63" spans="1:13" ht="15.75">
      <c r="A63" s="5" t="s">
        <v>37</v>
      </c>
      <c r="B63" s="5"/>
      <c r="C63" s="5"/>
      <c r="D63" s="5"/>
      <c r="E63" s="5"/>
      <c r="F63" s="5"/>
      <c r="G63" s="5"/>
      <c r="H63" s="5"/>
      <c r="I63" s="10">
        <v>1855.3</v>
      </c>
      <c r="J63" s="10">
        <v>1869.1</v>
      </c>
      <c r="K63" s="6">
        <f>I63/I69*100</f>
        <v>5.9802281466869083</v>
      </c>
      <c r="L63" s="6">
        <f>J63/J69*100</f>
        <v>4.9266316452593264</v>
      </c>
      <c r="M63" s="5"/>
    </row>
    <row r="64" spans="1:13" ht="15.75">
      <c r="A64" s="5" t="s">
        <v>38</v>
      </c>
      <c r="B64" s="5"/>
      <c r="C64" s="5"/>
      <c r="D64" s="5"/>
      <c r="E64" s="5"/>
      <c r="F64" s="5"/>
      <c r="G64" s="5"/>
      <c r="H64" s="5"/>
      <c r="I64" s="10">
        <v>4917.7</v>
      </c>
      <c r="J64" s="10">
        <v>5178.1000000000004</v>
      </c>
      <c r="K64" s="6">
        <f>I64/I69*100</f>
        <v>15.851327524908216</v>
      </c>
      <c r="L64" s="6">
        <f>J64/J69*100</f>
        <v>13.648596288222844</v>
      </c>
      <c r="M64" s="5"/>
    </row>
    <row r="65" spans="1:13" ht="15.75">
      <c r="A65" s="5" t="s">
        <v>39</v>
      </c>
      <c r="B65" s="5"/>
      <c r="C65" s="5"/>
      <c r="D65" s="5"/>
      <c r="E65" s="5"/>
      <c r="F65" s="5"/>
      <c r="G65" s="5"/>
      <c r="H65" s="5"/>
      <c r="I65" s="5"/>
      <c r="J65" s="5"/>
      <c r="K65" s="5"/>
      <c r="L65" s="5"/>
      <c r="M65" s="5"/>
    </row>
    <row r="66" spans="1:13" ht="15.75">
      <c r="A66" s="5" t="s">
        <v>40</v>
      </c>
      <c r="B66" s="5"/>
      <c r="C66" s="5"/>
      <c r="D66" s="5"/>
      <c r="E66" s="5"/>
      <c r="F66" s="5"/>
      <c r="G66" s="5"/>
      <c r="H66" s="5"/>
      <c r="I66" s="10">
        <v>34443.4</v>
      </c>
      <c r="J66" s="10">
        <v>37692.400000000001</v>
      </c>
      <c r="K66" s="6">
        <f>I66/I69*100</f>
        <v>111.02214744116633</v>
      </c>
      <c r="L66" s="6">
        <f>J66/J69*100</f>
        <v>99.350794834825663</v>
      </c>
      <c r="M66" s="5"/>
    </row>
    <row r="67" spans="1:13" ht="15.75">
      <c r="A67" s="5" t="s">
        <v>41</v>
      </c>
      <c r="B67" s="5"/>
      <c r="C67" s="5"/>
      <c r="D67" s="5"/>
      <c r="E67" s="5"/>
      <c r="F67" s="5"/>
      <c r="G67" s="5"/>
      <c r="H67" s="5"/>
      <c r="I67" s="10">
        <v>-13185.8</v>
      </c>
      <c r="J67" s="10">
        <v>-14574.8</v>
      </c>
      <c r="K67" s="6">
        <f>I67/I69*100</f>
        <v>-42.502070983983316</v>
      </c>
      <c r="L67" s="6">
        <f>J67/J69*100</f>
        <v>-38.41670905961459</v>
      </c>
      <c r="M67" s="5"/>
    </row>
    <row r="68" spans="1:13" ht="15.75">
      <c r="A68" s="5" t="s">
        <v>42</v>
      </c>
      <c r="B68" s="5"/>
      <c r="C68" s="5"/>
      <c r="D68" s="5"/>
      <c r="E68" s="5"/>
      <c r="F68" s="5"/>
      <c r="G68" s="5"/>
      <c r="H68" s="5"/>
      <c r="I68" s="10">
        <v>21257.599999999999</v>
      </c>
      <c r="J68" s="10">
        <v>23117.599999999999</v>
      </c>
      <c r="K68" s="6">
        <f>I68/I69*100</f>
        <v>68.520076457182995</v>
      </c>
      <c r="L68" s="6">
        <f>J68/J69*100</f>
        <v>60.934085775211067</v>
      </c>
      <c r="M68" s="5"/>
    </row>
    <row r="69" spans="1:13" ht="15.75">
      <c r="A69" s="4" t="s">
        <v>43</v>
      </c>
      <c r="B69" s="4"/>
      <c r="C69" s="4"/>
      <c r="D69" s="4"/>
      <c r="E69" s="4"/>
      <c r="F69" s="4"/>
      <c r="G69" s="4"/>
      <c r="H69" s="4"/>
      <c r="I69" s="11">
        <v>31023.9</v>
      </c>
      <c r="J69" s="11">
        <v>37938.699999999997</v>
      </c>
      <c r="K69" s="12">
        <v>1</v>
      </c>
      <c r="L69" s="9">
        <v>1</v>
      </c>
      <c r="M69" s="5"/>
    </row>
    <row r="70" spans="1:13" ht="15.75">
      <c r="A70" s="4" t="s">
        <v>44</v>
      </c>
      <c r="B70" s="4"/>
      <c r="C70" s="4"/>
      <c r="D70" s="4"/>
      <c r="E70" s="4"/>
      <c r="F70" s="4"/>
      <c r="G70" s="4"/>
      <c r="H70" s="4"/>
      <c r="I70" s="4"/>
      <c r="J70" s="4"/>
      <c r="K70" s="5"/>
      <c r="L70" s="5"/>
      <c r="M70" s="5"/>
    </row>
    <row r="71" spans="1:13" ht="15.75">
      <c r="A71" s="5" t="s">
        <v>45</v>
      </c>
      <c r="B71" s="5"/>
      <c r="C71" s="5"/>
      <c r="D71" s="5"/>
      <c r="E71" s="5"/>
      <c r="F71" s="5"/>
      <c r="G71" s="5"/>
      <c r="H71" s="5"/>
      <c r="I71" s="5"/>
      <c r="J71" s="5"/>
      <c r="K71" s="5"/>
      <c r="L71" s="5"/>
      <c r="M71" s="5"/>
    </row>
    <row r="72" spans="1:13" ht="15.75">
      <c r="A72" s="5" t="s">
        <v>46</v>
      </c>
      <c r="B72" s="5"/>
      <c r="C72" s="5"/>
      <c r="D72" s="5"/>
      <c r="E72" s="5"/>
      <c r="F72" s="5"/>
      <c r="G72" s="5"/>
      <c r="H72" s="5"/>
      <c r="I72" s="5">
        <v>756</v>
      </c>
      <c r="J72" s="5">
        <v>874.7</v>
      </c>
      <c r="K72" s="6">
        <f>I72/I91*100</f>
        <v>2.4368309593571404</v>
      </c>
      <c r="L72" s="6">
        <f>J72/J91*100</f>
        <v>2.30556133974016</v>
      </c>
      <c r="M72" s="5"/>
    </row>
    <row r="73" spans="1:13" ht="15.75">
      <c r="A73" s="5" t="s">
        <v>47</v>
      </c>
      <c r="B73" s="5"/>
      <c r="C73" s="5"/>
      <c r="D73" s="5"/>
      <c r="E73" s="5"/>
      <c r="F73" s="5"/>
      <c r="G73" s="5"/>
      <c r="H73" s="5"/>
      <c r="I73" s="5">
        <v>267.2</v>
      </c>
      <c r="J73" s="5">
        <v>154.80000000000001</v>
      </c>
      <c r="K73" s="6">
        <f>I73/I91*100</f>
        <v>0.86127147134950799</v>
      </c>
      <c r="L73" s="6">
        <f>J73/J91*100</f>
        <v>0.40802663243600867</v>
      </c>
      <c r="M73" s="5"/>
    </row>
    <row r="74" spans="1:13" ht="15.75">
      <c r="A74" s="5" t="s">
        <v>48</v>
      </c>
      <c r="B74" s="5"/>
      <c r="C74" s="5"/>
      <c r="D74" s="5"/>
      <c r="E74" s="5"/>
      <c r="F74" s="5"/>
      <c r="G74" s="5"/>
      <c r="H74" s="5"/>
      <c r="I74" s="5">
        <v>266.3</v>
      </c>
      <c r="J74" s="5">
        <v>309</v>
      </c>
      <c r="K74" s="6">
        <f>I74/I91*100</f>
        <v>0.85837048211217815</v>
      </c>
      <c r="L74" s="6">
        <f>J74/J91*100</f>
        <v>0.81447176629668383</v>
      </c>
      <c r="M74" s="5"/>
    </row>
    <row r="75" spans="1:13" ht="15.75">
      <c r="A75" s="5" t="s">
        <v>49</v>
      </c>
      <c r="B75" s="5"/>
      <c r="C75" s="5"/>
      <c r="D75" s="5"/>
      <c r="E75" s="5"/>
      <c r="F75" s="5"/>
      <c r="G75" s="5"/>
      <c r="H75" s="5"/>
      <c r="I75" s="5">
        <v>247.5</v>
      </c>
      <c r="J75" s="5">
        <v>233.1</v>
      </c>
      <c r="K75" s="6">
        <f>I75/I91*100</f>
        <v>0.79777204026573056</v>
      </c>
      <c r="L75" s="6">
        <f>J75/J91*100</f>
        <v>0.61441219651701307</v>
      </c>
      <c r="M75" s="5"/>
    </row>
    <row r="76" spans="1:13" ht="15.75">
      <c r="A76" s="5" t="s">
        <v>50</v>
      </c>
      <c r="B76" s="5"/>
      <c r="C76" s="5"/>
      <c r="D76" s="5"/>
      <c r="E76" s="5"/>
      <c r="F76" s="5"/>
      <c r="G76" s="5"/>
      <c r="H76" s="5"/>
      <c r="I76" s="10">
        <v>1159.3</v>
      </c>
      <c r="J76" s="10">
        <v>1378.8</v>
      </c>
      <c r="K76" s="6">
        <f>I76/I91*100</f>
        <v>3.7367964698184299</v>
      </c>
      <c r="L76" s="6">
        <f>J76/J91*100</f>
        <v>3.634283726116077</v>
      </c>
      <c r="M76" s="5"/>
    </row>
    <row r="77" spans="1:13" ht="15.75">
      <c r="A77" s="5" t="s">
        <v>51</v>
      </c>
      <c r="B77" s="5"/>
      <c r="C77" s="5"/>
      <c r="D77" s="5"/>
      <c r="E77" s="5"/>
      <c r="F77" s="5"/>
      <c r="G77" s="5"/>
      <c r="H77" s="5"/>
      <c r="I77" s="5">
        <v>77.2</v>
      </c>
      <c r="J77" s="5">
        <v>0</v>
      </c>
      <c r="K77" s="6">
        <f>I77/I91*100</f>
        <v>0.24884041013541175</v>
      </c>
      <c r="L77" s="5">
        <f>J77/J91*100</f>
        <v>0</v>
      </c>
      <c r="M77" s="5"/>
    </row>
    <row r="78" spans="1:13" ht="15.75">
      <c r="A78" s="5" t="s">
        <v>52</v>
      </c>
      <c r="B78" s="5"/>
      <c r="C78" s="5"/>
      <c r="D78" s="5"/>
      <c r="E78" s="5"/>
      <c r="F78" s="5"/>
      <c r="G78" s="5"/>
      <c r="H78" s="5"/>
      <c r="I78" s="5">
        <v>694.8</v>
      </c>
      <c r="J78" s="5">
        <v>0</v>
      </c>
      <c r="K78" s="6">
        <f>I78/I91*100</f>
        <v>2.2395636912187054</v>
      </c>
      <c r="L78" s="5">
        <f>J78/J91*100</f>
        <v>0</v>
      </c>
      <c r="M78" s="5"/>
    </row>
    <row r="79" spans="1:13" ht="15.75">
      <c r="A79" s="4" t="s">
        <v>53</v>
      </c>
      <c r="B79" s="4"/>
      <c r="C79" s="4"/>
      <c r="D79" s="4"/>
      <c r="E79" s="4"/>
      <c r="F79" s="4"/>
      <c r="G79" s="4"/>
      <c r="H79" s="4"/>
      <c r="I79" s="11">
        <v>3468.3</v>
      </c>
      <c r="J79" s="11">
        <v>2950.4</v>
      </c>
      <c r="K79" s="6">
        <f>I79/I91*100</f>
        <v>11.179445524257105</v>
      </c>
      <c r="L79" s="6">
        <f>J79/J91*100</f>
        <v>7.776755661105943</v>
      </c>
      <c r="M79" s="5"/>
    </row>
    <row r="80" spans="1:13" ht="15.75">
      <c r="A80" s="5" t="s">
        <v>54</v>
      </c>
      <c r="B80" s="5"/>
      <c r="C80" s="5"/>
      <c r="D80" s="5"/>
      <c r="E80" s="5"/>
      <c r="F80" s="5"/>
      <c r="G80" s="5"/>
      <c r="H80" s="5"/>
      <c r="I80" s="10">
        <v>25878.5</v>
      </c>
      <c r="J80" s="10">
        <v>24122.1</v>
      </c>
      <c r="K80" s="6">
        <f>I80/I91*100</f>
        <v>83.414722198047315</v>
      </c>
      <c r="L80" s="6">
        <f>J80/J91*100</f>
        <v>63.581777973415008</v>
      </c>
      <c r="M80" s="5"/>
    </row>
    <row r="81" spans="1:13" ht="15.75">
      <c r="A81" s="5" t="s">
        <v>55</v>
      </c>
      <c r="B81" s="5"/>
      <c r="C81" s="5"/>
      <c r="D81" s="5"/>
      <c r="E81" s="5"/>
      <c r="F81" s="5"/>
      <c r="G81" s="5"/>
      <c r="H81" s="5"/>
      <c r="I81" s="10">
        <v>2064.3000000000002</v>
      </c>
      <c r="J81" s="10">
        <v>2074</v>
      </c>
      <c r="K81" s="6">
        <f>I81/I91*100</f>
        <v>6.6539023140224156</v>
      </c>
      <c r="L81" s="6">
        <f>J81/J91*100</f>
        <v>5.4667134087356715</v>
      </c>
      <c r="M81" s="5"/>
    </row>
    <row r="82" spans="1:13" ht="15.75">
      <c r="A82" s="5" t="s">
        <v>56</v>
      </c>
      <c r="B82" s="5"/>
      <c r="C82" s="5"/>
      <c r="D82" s="5"/>
      <c r="E82" s="5"/>
      <c r="F82" s="5"/>
      <c r="G82" s="5"/>
      <c r="H82" s="5"/>
      <c r="I82" s="10">
        <v>1817.1</v>
      </c>
      <c r="J82" s="10">
        <v>1704.3</v>
      </c>
      <c r="K82" s="6">
        <f>I82/I91*100</f>
        <v>5.8570972701691275</v>
      </c>
      <c r="L82" s="6">
        <f>J82/J91*100</f>
        <v>4.4922467032344278</v>
      </c>
      <c r="M82" s="5"/>
    </row>
    <row r="83" spans="1:13" ht="15.75">
      <c r="A83" s="5" t="s">
        <v>57</v>
      </c>
      <c r="B83" s="5"/>
      <c r="C83" s="5"/>
      <c r="D83" s="5"/>
      <c r="E83" s="5"/>
      <c r="F83" s="5"/>
      <c r="G83" s="5"/>
      <c r="H83" s="5"/>
      <c r="I83" s="5"/>
      <c r="J83" s="5"/>
      <c r="K83" s="5"/>
      <c r="L83" s="5"/>
      <c r="M83" s="5"/>
    </row>
    <row r="84" spans="1:13" ht="15.75">
      <c r="A84" s="5" t="s">
        <v>58</v>
      </c>
      <c r="B84" s="5"/>
      <c r="C84" s="5"/>
      <c r="D84" s="5"/>
      <c r="E84" s="5"/>
      <c r="F84" s="5"/>
      <c r="G84" s="5"/>
      <c r="H84" s="5"/>
      <c r="I84" s="5"/>
      <c r="J84" s="5"/>
      <c r="K84" s="5"/>
      <c r="L84" s="5"/>
      <c r="M84" s="5"/>
    </row>
    <row r="85" spans="1:13" ht="15.75">
      <c r="A85" s="5" t="s">
        <v>59</v>
      </c>
      <c r="B85" s="5"/>
      <c r="C85" s="5"/>
      <c r="D85" s="5"/>
      <c r="E85" s="5"/>
      <c r="F85" s="5"/>
      <c r="G85" s="5"/>
      <c r="H85" s="5"/>
      <c r="I85" s="5">
        <v>16.600000000000001</v>
      </c>
      <c r="J85" s="5">
        <v>16.600000000000001</v>
      </c>
      <c r="K85" s="6">
        <f>I85/I91*100</f>
        <v>5.3507134821863145E-2</v>
      </c>
      <c r="L85" s="6">
        <f>J85/J91*100</f>
        <v>4.3754793917556489E-2</v>
      </c>
      <c r="M85" s="5"/>
    </row>
    <row r="86" spans="1:13" ht="15.75">
      <c r="A86" s="5" t="s">
        <v>61</v>
      </c>
      <c r="B86" s="5"/>
      <c r="C86" s="5"/>
      <c r="D86" s="5"/>
      <c r="E86" s="5"/>
      <c r="F86" s="5"/>
      <c r="G86" s="5"/>
      <c r="H86" s="5"/>
      <c r="I86" s="10">
        <v>6757.9</v>
      </c>
      <c r="J86" s="10">
        <v>6533.4</v>
      </c>
      <c r="K86" s="6">
        <f>I86/I91*100</f>
        <v>21.782883518835476</v>
      </c>
      <c r="L86" s="6">
        <f>J86/J91*100</f>
        <v>17.22093798680503</v>
      </c>
      <c r="M86" s="5"/>
    </row>
    <row r="87" spans="1:13" ht="15.75">
      <c r="A87" s="5" t="s">
        <v>60</v>
      </c>
      <c r="B87" s="5"/>
      <c r="C87" s="5"/>
      <c r="D87" s="5"/>
      <c r="E87" s="5"/>
      <c r="F87" s="5"/>
      <c r="G87" s="5"/>
      <c r="H87" s="5"/>
      <c r="I87" s="10">
        <v>46222.7</v>
      </c>
      <c r="J87" s="10">
        <v>44594.5</v>
      </c>
      <c r="K87" s="6">
        <f>I87/I91*100</f>
        <v>148.9906169114779</v>
      </c>
      <c r="L87" s="6">
        <f>J87/J91*100</f>
        <v>117.54356369617305</v>
      </c>
      <c r="M87" s="5"/>
    </row>
    <row r="88" spans="1:13" ht="15.75">
      <c r="A88" s="5" t="s">
        <v>62</v>
      </c>
      <c r="B88" s="5"/>
      <c r="C88" s="5"/>
      <c r="D88" s="5"/>
      <c r="E88" s="5"/>
      <c r="F88" s="5"/>
      <c r="G88" s="5"/>
      <c r="H88" s="5"/>
      <c r="I88" s="10">
        <v>-3092.9</v>
      </c>
      <c r="J88" s="10">
        <v>-2879.8</v>
      </c>
      <c r="K88" s="6">
        <f>I88/I91*100</f>
        <v>-9.9694106801530431</v>
      </c>
      <c r="L88" s="6">
        <f>J88/J91*100</f>
        <v>-7.5906659954083837</v>
      </c>
      <c r="M88" s="5"/>
    </row>
    <row r="89" spans="1:13" ht="15.75">
      <c r="A89" s="5" t="s">
        <v>63</v>
      </c>
      <c r="B89" s="5"/>
      <c r="C89" s="5"/>
      <c r="D89" s="5"/>
      <c r="E89" s="5"/>
      <c r="F89" s="5"/>
      <c r="G89" s="5"/>
      <c r="H89" s="5"/>
      <c r="I89" s="10">
        <v>-52108.6</v>
      </c>
      <c r="J89" s="10">
        <v>-41176.800000000003</v>
      </c>
      <c r="K89" s="6">
        <f>I89/I91*100</f>
        <v>-167.96276419147819</v>
      </c>
      <c r="L89" s="6">
        <f>J89/J91*100</f>
        <v>-108.5350842279783</v>
      </c>
      <c r="M89" s="5"/>
    </row>
    <row r="90" spans="1:13" ht="15.75">
      <c r="A90" s="5" t="s">
        <v>64</v>
      </c>
      <c r="B90" s="5"/>
      <c r="C90" s="5"/>
      <c r="D90" s="5"/>
      <c r="E90" s="5"/>
      <c r="F90" s="5"/>
      <c r="G90" s="5"/>
      <c r="H90" s="5"/>
      <c r="I90" s="10">
        <v>-2204.3000000000002</v>
      </c>
      <c r="J90" s="10">
        <v>7087.9</v>
      </c>
      <c r="K90" s="6">
        <f>I90/I91*100</f>
        <v>-7.10516730649596</v>
      </c>
      <c r="L90" s="6">
        <f>J90/J91*100</f>
        <v>18.682506253508951</v>
      </c>
      <c r="M90" s="5"/>
    </row>
    <row r="91" spans="1:13" ht="15.75">
      <c r="A91" s="4" t="s">
        <v>65</v>
      </c>
      <c r="B91" s="4"/>
      <c r="C91" s="4"/>
      <c r="D91" s="4"/>
      <c r="E91" s="4"/>
      <c r="F91" s="4"/>
      <c r="G91" s="4"/>
      <c r="H91" s="4"/>
      <c r="I91" s="11">
        <v>31023.9</v>
      </c>
      <c r="J91" s="11">
        <v>37938.699999999997</v>
      </c>
      <c r="K91" s="9">
        <v>1</v>
      </c>
      <c r="L91" s="9">
        <v>1</v>
      </c>
      <c r="M91" s="5"/>
    </row>
    <row r="92" spans="1:13" ht="15.75">
      <c r="A92" s="5" t="s">
        <v>184</v>
      </c>
      <c r="B92" s="5"/>
      <c r="C92" s="5"/>
      <c r="D92" s="5"/>
      <c r="E92" s="5"/>
      <c r="F92" s="5"/>
      <c r="G92" s="5"/>
      <c r="H92" s="5"/>
      <c r="I92" s="5"/>
      <c r="J92" s="5"/>
      <c r="K92" s="5"/>
      <c r="L92" s="5"/>
      <c r="M92" s="5"/>
    </row>
    <row r="93" spans="1:13" ht="15.75">
      <c r="A93" s="5" t="s">
        <v>186</v>
      </c>
      <c r="B93" s="5"/>
      <c r="C93" s="5"/>
      <c r="D93" s="5"/>
      <c r="E93" s="5"/>
      <c r="F93" s="5"/>
      <c r="G93" s="5"/>
      <c r="H93" s="5"/>
      <c r="I93" s="5"/>
      <c r="J93" s="5"/>
      <c r="K93" s="5"/>
      <c r="L93" s="5"/>
      <c r="M93" s="5"/>
    </row>
    <row r="94" spans="1:13" ht="15.75">
      <c r="A94" s="5"/>
      <c r="B94" s="5"/>
      <c r="C94" s="5"/>
      <c r="D94" s="5"/>
      <c r="E94" s="5"/>
      <c r="F94" s="5"/>
      <c r="G94" s="5"/>
      <c r="H94" s="5"/>
      <c r="I94" s="5"/>
      <c r="J94" s="5"/>
      <c r="K94" s="5"/>
      <c r="L94" s="5"/>
      <c r="M94"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L46"/>
  <sheetViews>
    <sheetView topLeftCell="A22" workbookViewId="0">
      <selection activeCell="K42" sqref="K42"/>
    </sheetView>
  </sheetViews>
  <sheetFormatPr defaultRowHeight="15"/>
  <cols>
    <col min="8" max="8" width="18.140625" customWidth="1"/>
    <col min="9" max="9" width="20.140625" customWidth="1"/>
    <col min="10" max="10" width="18.140625" customWidth="1"/>
    <col min="11" max="11" width="25.140625" customWidth="1"/>
  </cols>
  <sheetData>
    <row r="1" spans="1:12" ht="15.75">
      <c r="A1" s="4" t="s">
        <v>74</v>
      </c>
      <c r="B1" s="5"/>
      <c r="C1" s="5"/>
      <c r="D1" s="5"/>
      <c r="E1" s="5"/>
      <c r="F1" s="5"/>
      <c r="G1" s="5"/>
      <c r="H1" s="5"/>
      <c r="I1" s="5"/>
      <c r="J1" s="5"/>
      <c r="K1" s="5"/>
      <c r="L1" s="5"/>
    </row>
    <row r="2" spans="1:12" ht="15.75">
      <c r="A2" s="5"/>
      <c r="B2" s="5"/>
      <c r="C2" s="5"/>
      <c r="D2" s="5"/>
      <c r="E2" s="5"/>
      <c r="F2" s="5"/>
      <c r="G2" s="5"/>
      <c r="H2" s="5" t="s">
        <v>67</v>
      </c>
      <c r="I2" s="5" t="s">
        <v>68</v>
      </c>
      <c r="J2" s="5" t="s">
        <v>69</v>
      </c>
      <c r="K2" s="5"/>
      <c r="L2" s="5"/>
    </row>
    <row r="3" spans="1:12" ht="15.75">
      <c r="A3" s="4" t="s">
        <v>75</v>
      </c>
      <c r="B3" s="4"/>
      <c r="C3" s="4"/>
      <c r="D3" s="4"/>
      <c r="E3" s="4"/>
      <c r="F3" s="4"/>
      <c r="G3" s="4"/>
      <c r="H3" s="4"/>
      <c r="I3" s="4"/>
      <c r="J3" s="4"/>
      <c r="K3" s="4"/>
      <c r="L3" s="4"/>
    </row>
    <row r="4" spans="1:12" ht="15.75">
      <c r="A4" s="5" t="s">
        <v>18</v>
      </c>
      <c r="B4" s="5"/>
      <c r="C4" s="5"/>
      <c r="D4" s="5"/>
      <c r="E4" s="5"/>
      <c r="F4" s="5"/>
      <c r="G4" s="5"/>
      <c r="H4" s="10">
        <v>4686.5</v>
      </c>
      <c r="I4" s="10">
        <v>4529.3</v>
      </c>
      <c r="J4" s="6">
        <f>(H4-I4)/I4*100</f>
        <v>3.4707349921621402</v>
      </c>
      <c r="K4" s="5"/>
      <c r="L4" s="5"/>
    </row>
    <row r="5" spans="1:12" ht="15.75">
      <c r="A5" s="5" t="s">
        <v>76</v>
      </c>
      <c r="B5" s="5"/>
      <c r="C5" s="5"/>
      <c r="D5" s="5"/>
      <c r="E5" s="5"/>
      <c r="F5" s="5"/>
      <c r="G5" s="5"/>
      <c r="H5" s="5"/>
      <c r="I5" s="5"/>
      <c r="J5" s="6"/>
      <c r="K5" s="5"/>
      <c r="L5" s="5"/>
    </row>
    <row r="6" spans="1:12" ht="15.75">
      <c r="A6" s="5" t="s">
        <v>77</v>
      </c>
      <c r="B6" s="5"/>
      <c r="C6" s="5"/>
      <c r="D6" s="5"/>
      <c r="E6" s="5"/>
      <c r="F6" s="5"/>
      <c r="G6" s="5"/>
      <c r="H6" s="5"/>
      <c r="I6" s="5"/>
      <c r="J6" s="6"/>
      <c r="K6" s="5"/>
      <c r="L6" s="5"/>
    </row>
    <row r="7" spans="1:12" ht="15.75">
      <c r="A7" s="5" t="s">
        <v>78</v>
      </c>
      <c r="B7" s="5"/>
      <c r="C7" s="5"/>
      <c r="D7" s="5"/>
      <c r="E7" s="5"/>
      <c r="F7" s="5"/>
      <c r="G7" s="5"/>
      <c r="H7" s="10">
        <v>1516.5</v>
      </c>
      <c r="I7" s="10">
        <v>1555.7</v>
      </c>
      <c r="J7" s="6">
        <f>(H7-I7)/I7*100</f>
        <v>-2.5197660217265567</v>
      </c>
      <c r="K7" s="5"/>
      <c r="L7" s="5"/>
    </row>
    <row r="8" spans="1:12" ht="15.75">
      <c r="A8" s="5" t="s">
        <v>56</v>
      </c>
      <c r="B8" s="5"/>
      <c r="C8" s="5"/>
      <c r="D8" s="5"/>
      <c r="E8" s="5"/>
      <c r="F8" s="5"/>
      <c r="G8" s="5"/>
      <c r="H8" s="5">
        <v>-538.6</v>
      </c>
      <c r="I8" s="5">
        <v>-1.4</v>
      </c>
      <c r="J8" s="6">
        <f>(H8-I8)/I8*100</f>
        <v>38371.42857142858</v>
      </c>
      <c r="K8" s="5"/>
      <c r="L8" s="5"/>
    </row>
    <row r="9" spans="1:12" ht="15.75">
      <c r="A9" s="5" t="s">
        <v>79</v>
      </c>
      <c r="B9" s="5"/>
      <c r="C9" s="5"/>
      <c r="D9" s="5"/>
      <c r="E9" s="5"/>
      <c r="F9" s="5"/>
      <c r="G9" s="5"/>
      <c r="H9" s="5">
        <v>131.30000000000001</v>
      </c>
      <c r="I9" s="5">
        <v>110</v>
      </c>
      <c r="J9" s="6">
        <f>(H9-I9)/I9*100</f>
        <v>19.363636363636374</v>
      </c>
      <c r="K9" s="5"/>
      <c r="L9" s="5"/>
    </row>
    <row r="10" spans="1:12" ht="15.75">
      <c r="A10" s="5" t="s">
        <v>80</v>
      </c>
      <c r="B10" s="5"/>
      <c r="C10" s="5"/>
      <c r="D10" s="5"/>
      <c r="E10" s="5"/>
      <c r="F10" s="5"/>
      <c r="G10" s="5"/>
      <c r="H10" s="5">
        <v>96.9</v>
      </c>
      <c r="I10" s="5">
        <v>177.6</v>
      </c>
      <c r="J10" s="6">
        <f>(H10-I10)/I10*100</f>
        <v>-45.439189189189186</v>
      </c>
      <c r="K10" s="5"/>
      <c r="L10" s="5"/>
    </row>
    <row r="11" spans="1:12" ht="15.75">
      <c r="A11" s="5" t="s">
        <v>81</v>
      </c>
      <c r="B11" s="5"/>
      <c r="C11" s="5"/>
      <c r="D11" s="5"/>
      <c r="E11" s="5"/>
      <c r="F11" s="5"/>
      <c r="G11" s="5"/>
      <c r="H11" s="5"/>
      <c r="I11" s="5"/>
      <c r="J11" s="6"/>
      <c r="K11" s="5"/>
      <c r="L11" s="5"/>
    </row>
    <row r="12" spans="1:12" ht="15.75">
      <c r="A12" s="5" t="s">
        <v>82</v>
      </c>
      <c r="B12" s="5"/>
      <c r="C12" s="5"/>
      <c r="D12" s="5"/>
      <c r="E12" s="5"/>
      <c r="F12" s="5"/>
      <c r="G12" s="5"/>
      <c r="H12" s="5">
        <v>-159</v>
      </c>
      <c r="I12" s="5">
        <v>-180.6</v>
      </c>
      <c r="J12" s="6">
        <f>(H12-I12)/I12*100</f>
        <v>-11.960132890365447</v>
      </c>
      <c r="K12" s="5"/>
      <c r="L12" s="5"/>
    </row>
    <row r="13" spans="1:12" ht="15.75">
      <c r="A13" s="5" t="s">
        <v>83</v>
      </c>
      <c r="B13" s="5"/>
      <c r="C13" s="5"/>
      <c r="D13" s="5"/>
      <c r="E13" s="5"/>
      <c r="F13" s="5"/>
      <c r="G13" s="5"/>
      <c r="H13" s="5">
        <v>28.1</v>
      </c>
      <c r="I13" s="5">
        <v>44.9</v>
      </c>
      <c r="J13" s="6">
        <f>(H13-I13)/I13*100</f>
        <v>-37.416481069042312</v>
      </c>
      <c r="K13" s="5"/>
      <c r="L13" s="5"/>
    </row>
    <row r="14" spans="1:12" ht="15.75">
      <c r="A14" s="5" t="s">
        <v>46</v>
      </c>
      <c r="B14" s="5"/>
      <c r="C14" s="5"/>
      <c r="D14" s="5"/>
      <c r="E14" s="5"/>
      <c r="F14" s="5"/>
      <c r="G14" s="5"/>
      <c r="H14" s="5">
        <v>89.8</v>
      </c>
      <c r="I14" s="5">
        <v>-15</v>
      </c>
      <c r="J14" s="6">
        <f>(H14-I14)/I14*100</f>
        <v>-698.66666666666663</v>
      </c>
      <c r="K14" s="5"/>
      <c r="L14" s="5"/>
    </row>
    <row r="15" spans="1:12" ht="15.75">
      <c r="A15" s="5" t="s">
        <v>47</v>
      </c>
      <c r="B15" s="5"/>
      <c r="C15" s="5"/>
      <c r="D15" s="5"/>
      <c r="E15" s="5"/>
      <c r="F15" s="5"/>
      <c r="G15" s="5"/>
      <c r="H15" s="5">
        <v>169.7</v>
      </c>
      <c r="I15" s="5">
        <v>-64.400000000000006</v>
      </c>
      <c r="J15" s="6">
        <f>(H15-I15)/I15*100</f>
        <v>-363.50931677018627</v>
      </c>
      <c r="K15" s="5"/>
      <c r="L15" s="5"/>
    </row>
    <row r="16" spans="1:12" ht="15.75">
      <c r="A16" s="5" t="s">
        <v>84</v>
      </c>
      <c r="B16" s="5"/>
      <c r="C16" s="5"/>
      <c r="D16" s="5"/>
      <c r="E16" s="5"/>
      <c r="F16" s="5"/>
      <c r="G16" s="5"/>
      <c r="H16" s="5">
        <v>38.4</v>
      </c>
      <c r="I16" s="5">
        <v>383</v>
      </c>
      <c r="J16" s="6">
        <f>(H16-I16)/I16*100</f>
        <v>-89.973890339425594</v>
      </c>
      <c r="K16" s="5"/>
      <c r="L16" s="5"/>
    </row>
    <row r="17" spans="1:12" ht="15.75">
      <c r="A17" s="5" t="s">
        <v>85</v>
      </c>
      <c r="B17" s="5"/>
      <c r="C17" s="5"/>
      <c r="D17" s="5"/>
      <c r="E17" s="5"/>
      <c r="F17" s="5"/>
      <c r="G17" s="5"/>
      <c r="H17" s="10">
        <v>6059.6</v>
      </c>
      <c r="I17" s="10">
        <v>6539.1</v>
      </c>
      <c r="J17" s="6">
        <f>(H17-I17)/I17*100</f>
        <v>-7.3328133841048455</v>
      </c>
      <c r="K17" s="5"/>
      <c r="L17" s="5"/>
    </row>
    <row r="18" spans="1:12" ht="15.75">
      <c r="A18" s="5" t="s">
        <v>86</v>
      </c>
      <c r="B18" s="5"/>
      <c r="C18" s="5"/>
      <c r="D18" s="5"/>
      <c r="E18" s="5"/>
      <c r="F18" s="5"/>
      <c r="G18" s="5"/>
      <c r="H18" s="5"/>
      <c r="I18" s="5"/>
      <c r="J18" s="6"/>
      <c r="K18" s="5"/>
      <c r="L18" s="5"/>
    </row>
    <row r="19" spans="1:12" ht="15.75">
      <c r="A19" s="5" t="s">
        <v>87</v>
      </c>
      <c r="B19" s="5"/>
      <c r="C19" s="5"/>
      <c r="D19" s="5"/>
      <c r="E19" s="5"/>
      <c r="F19" s="5"/>
      <c r="G19" s="5"/>
      <c r="H19" s="10">
        <v>-1821.1</v>
      </c>
      <c r="I19" s="10">
        <v>-1813.9</v>
      </c>
      <c r="J19" s="6">
        <f>(H19-I19)/I19*100</f>
        <v>0.39693478141021099</v>
      </c>
      <c r="K19" s="5"/>
      <c r="L19" s="5"/>
    </row>
    <row r="20" spans="1:12" ht="15.75">
      <c r="A20" s="5" t="s">
        <v>88</v>
      </c>
      <c r="B20" s="5"/>
      <c r="C20" s="5"/>
      <c r="D20" s="5"/>
      <c r="E20" s="5"/>
      <c r="F20" s="5"/>
      <c r="G20" s="5"/>
      <c r="H20" s="5">
        <v>-109.5</v>
      </c>
      <c r="I20" s="5">
        <v>-140.6</v>
      </c>
      <c r="J20" s="6">
        <f>(H20-I20)/I20*100</f>
        <v>-22.119487908961592</v>
      </c>
      <c r="K20" s="5"/>
      <c r="L20" s="5"/>
    </row>
    <row r="21" spans="1:12" ht="15.75">
      <c r="A21" s="5" t="s">
        <v>89</v>
      </c>
      <c r="B21" s="5"/>
      <c r="C21" s="5"/>
      <c r="D21" s="5"/>
      <c r="E21" s="5"/>
      <c r="F21" s="5"/>
      <c r="G21" s="5"/>
      <c r="H21" s="5">
        <v>975.6</v>
      </c>
      <c r="I21" s="5">
        <v>341.1</v>
      </c>
      <c r="J21" s="6">
        <f>(H21-I21)/I21*100</f>
        <v>186.01583113456462</v>
      </c>
      <c r="K21" s="5"/>
      <c r="L21" s="5"/>
    </row>
    <row r="22" spans="1:12" ht="15.75">
      <c r="A22" s="5" t="s">
        <v>90</v>
      </c>
      <c r="B22" s="5"/>
      <c r="C22" s="5"/>
      <c r="D22" s="5"/>
      <c r="E22" s="5"/>
      <c r="F22" s="5"/>
      <c r="G22" s="5"/>
      <c r="H22" s="5">
        <v>82.9</v>
      </c>
      <c r="I22" s="5">
        <v>213.1</v>
      </c>
      <c r="J22" s="6">
        <f>(H22-I22)/I22*100</f>
        <v>-61.098076020647582</v>
      </c>
      <c r="K22" s="5"/>
      <c r="L22" s="5"/>
    </row>
    <row r="23" spans="1:12" ht="15.75">
      <c r="A23" s="5" t="s">
        <v>80</v>
      </c>
      <c r="B23" s="5"/>
      <c r="C23" s="5"/>
      <c r="D23" s="5"/>
      <c r="E23" s="5"/>
      <c r="F23" s="5"/>
      <c r="G23" s="5"/>
      <c r="H23" s="5">
        <v>-109.5</v>
      </c>
      <c r="I23" s="5">
        <v>-19.7</v>
      </c>
      <c r="J23" s="6">
        <f>(H23-I23)/I23*100</f>
        <v>455.83756345177665</v>
      </c>
      <c r="K23" s="5"/>
      <c r="L23" s="5"/>
    </row>
    <row r="24" spans="1:12" ht="15.75">
      <c r="A24" s="5" t="s">
        <v>91</v>
      </c>
      <c r="B24" s="5"/>
      <c r="C24" s="5"/>
      <c r="D24" s="5"/>
      <c r="E24" s="5"/>
      <c r="F24" s="5"/>
      <c r="G24" s="5"/>
      <c r="H24" s="5">
        <v>-981.6</v>
      </c>
      <c r="I24" s="10">
        <v>-1420</v>
      </c>
      <c r="J24" s="6">
        <f>(H24-I24)/I24*100</f>
        <v>-30.873239436619716</v>
      </c>
      <c r="K24" s="5"/>
      <c r="L24" s="5"/>
    </row>
    <row r="25" spans="1:12" ht="15.75">
      <c r="A25" s="5" t="s">
        <v>92</v>
      </c>
      <c r="B25" s="5"/>
      <c r="C25" s="5"/>
      <c r="D25" s="5"/>
      <c r="E25" s="5"/>
      <c r="F25" s="5"/>
      <c r="G25" s="5"/>
      <c r="H25" s="5"/>
      <c r="I25" s="5"/>
      <c r="J25" s="6"/>
      <c r="K25" s="5"/>
      <c r="L25" s="5"/>
    </row>
    <row r="26" spans="1:12" ht="15.75">
      <c r="A26" s="5" t="s">
        <v>93</v>
      </c>
      <c r="B26" s="5"/>
      <c r="C26" s="5"/>
      <c r="D26" s="5"/>
      <c r="E26" s="5"/>
      <c r="F26" s="5"/>
      <c r="G26" s="5"/>
      <c r="H26" s="5">
        <v>-286.2</v>
      </c>
      <c r="I26" s="5">
        <v>589.70000000000005</v>
      </c>
      <c r="J26" s="6">
        <f>(H26-I26)/I26*100</f>
        <v>-148.53315245039852</v>
      </c>
      <c r="K26" s="5"/>
      <c r="L26" s="5"/>
    </row>
    <row r="27" spans="1:12" ht="15.75">
      <c r="A27" s="5" t="s">
        <v>94</v>
      </c>
      <c r="B27" s="5"/>
      <c r="C27" s="5"/>
      <c r="D27" s="5"/>
      <c r="E27" s="5"/>
      <c r="F27" s="5"/>
      <c r="G27" s="5"/>
      <c r="H27" s="10">
        <v>3779.5</v>
      </c>
      <c r="I27" s="10">
        <v>10220</v>
      </c>
      <c r="J27" s="6">
        <f>(H27-I27)/I27*100</f>
        <v>-63.018590998043052</v>
      </c>
      <c r="K27" s="5"/>
      <c r="L27" s="5"/>
    </row>
    <row r="28" spans="1:12" ht="15.75">
      <c r="A28" s="5" t="s">
        <v>95</v>
      </c>
      <c r="B28" s="5"/>
      <c r="C28" s="5"/>
      <c r="D28" s="5"/>
      <c r="E28" s="5"/>
      <c r="F28" s="5"/>
      <c r="G28" s="5"/>
      <c r="H28" s="5">
        <v>-822.9</v>
      </c>
      <c r="I28" s="10">
        <v>-1054.5</v>
      </c>
      <c r="J28" s="6">
        <f>(H28-I28)/H28*100</f>
        <v>-28.144367480860378</v>
      </c>
      <c r="K28" s="5"/>
      <c r="L28" s="5"/>
    </row>
    <row r="29" spans="1:12" ht="15.75">
      <c r="A29" s="5" t="s">
        <v>96</v>
      </c>
      <c r="B29" s="5"/>
      <c r="C29" s="5"/>
      <c r="D29" s="5"/>
      <c r="E29" s="5"/>
      <c r="F29" s="5"/>
      <c r="G29" s="5"/>
      <c r="H29" s="10">
        <v>-11171</v>
      </c>
      <c r="I29" s="10">
        <v>-6099.2</v>
      </c>
      <c r="J29" s="6">
        <f>(H29-I29)/I29*100</f>
        <v>83.155167890870942</v>
      </c>
      <c r="K29" s="5"/>
      <c r="L29" s="5"/>
    </row>
    <row r="30" spans="1:12" ht="15.75">
      <c r="A30" s="5" t="s">
        <v>97</v>
      </c>
      <c r="B30" s="5"/>
      <c r="C30" s="5"/>
      <c r="D30" s="5"/>
      <c r="E30" s="5"/>
      <c r="F30" s="5"/>
      <c r="G30" s="5"/>
      <c r="H30" s="10">
        <v>-3058.2</v>
      </c>
      <c r="I30" s="10">
        <v>-3230.3</v>
      </c>
      <c r="J30" s="6">
        <f>(H30-I30)/I30*100</f>
        <v>-5.3276785437885135</v>
      </c>
      <c r="K30" s="5"/>
      <c r="L30" s="5"/>
    </row>
    <row r="31" spans="1:12" ht="15.75">
      <c r="A31" s="5" t="s">
        <v>98</v>
      </c>
      <c r="B31" s="5"/>
      <c r="C31" s="5"/>
      <c r="D31" s="5"/>
      <c r="E31" s="5"/>
      <c r="F31" s="5"/>
      <c r="G31" s="5"/>
      <c r="H31" s="5">
        <v>299.39999999999998</v>
      </c>
      <c r="I31" s="5">
        <v>317.2</v>
      </c>
      <c r="J31" s="6">
        <f>(H31-I31)/I31*100</f>
        <v>-5.6116015132408608</v>
      </c>
      <c r="K31" s="5"/>
      <c r="L31" s="5"/>
    </row>
    <row r="32" spans="1:12" ht="15.75">
      <c r="A32" s="5" t="s">
        <v>99</v>
      </c>
      <c r="B32" s="5"/>
      <c r="C32" s="5"/>
      <c r="D32" s="5"/>
      <c r="E32" s="5"/>
      <c r="F32" s="5"/>
      <c r="G32" s="5"/>
      <c r="H32" s="10">
        <v>0</v>
      </c>
      <c r="I32" s="5">
        <v>51.1</v>
      </c>
      <c r="J32" s="6">
        <f>(H32-I32)/I32*100</f>
        <v>-100</v>
      </c>
      <c r="K32" s="5"/>
      <c r="L32" s="5"/>
    </row>
    <row r="33" spans="1:12" ht="15.75">
      <c r="A33" s="5" t="s">
        <v>80</v>
      </c>
      <c r="B33" s="5"/>
      <c r="C33" s="5"/>
      <c r="D33" s="5"/>
      <c r="E33" s="5"/>
      <c r="F33" s="5"/>
      <c r="G33" s="5"/>
      <c r="H33" s="5">
        <v>-3</v>
      </c>
      <c r="I33" s="5">
        <v>-58.7</v>
      </c>
      <c r="J33" s="6">
        <f>(H33-I33)/I33*100</f>
        <v>-94.889267461669505</v>
      </c>
      <c r="K33" s="5"/>
      <c r="L33" s="5"/>
    </row>
    <row r="34" spans="1:12" ht="15.75">
      <c r="A34" s="5" t="s">
        <v>100</v>
      </c>
      <c r="B34" s="5"/>
      <c r="C34" s="5"/>
      <c r="D34" s="5"/>
      <c r="E34" s="5"/>
      <c r="F34" s="5"/>
      <c r="G34" s="5"/>
      <c r="H34" s="10">
        <v>-11262.4</v>
      </c>
      <c r="I34" s="5">
        <v>735.3</v>
      </c>
      <c r="J34" s="6">
        <f>(H34-I34)/I34*100</f>
        <v>-1631.6741466068272</v>
      </c>
      <c r="K34" s="5"/>
      <c r="L34" s="5"/>
    </row>
    <row r="35" spans="1:12" ht="15.75">
      <c r="A35" s="5" t="s">
        <v>101</v>
      </c>
      <c r="B35" s="5"/>
      <c r="C35" s="5"/>
      <c r="D35" s="5"/>
      <c r="E35" s="5"/>
      <c r="F35" s="5"/>
      <c r="G35" s="5"/>
      <c r="H35" s="5">
        <v>-103.7</v>
      </c>
      <c r="I35" s="5">
        <v>-246.8</v>
      </c>
      <c r="J35" s="6">
        <f>(H35-I35)/I35*100</f>
        <v>-57.982171799027562</v>
      </c>
      <c r="K35" s="5"/>
      <c r="L35" s="5"/>
    </row>
    <row r="36" spans="1:12" ht="15.75">
      <c r="A36" s="5" t="s">
        <v>102</v>
      </c>
      <c r="B36" s="5"/>
      <c r="C36" s="5"/>
      <c r="D36" s="5"/>
      <c r="E36" s="5"/>
      <c r="F36" s="5"/>
      <c r="G36" s="5"/>
      <c r="H36" s="10">
        <v>-6288.1</v>
      </c>
      <c r="I36" s="10">
        <v>5607.6</v>
      </c>
      <c r="J36" s="6">
        <f>(H36-I36)/I36*100</f>
        <v>-212.13531635637349</v>
      </c>
      <c r="K36" s="5"/>
      <c r="L36" s="5"/>
    </row>
    <row r="37" spans="1:12" ht="15.75">
      <c r="A37" s="5" t="s">
        <v>103</v>
      </c>
      <c r="B37" s="5"/>
      <c r="C37" s="5"/>
      <c r="D37" s="5"/>
      <c r="E37" s="5"/>
      <c r="F37" s="5"/>
      <c r="G37" s="5"/>
      <c r="H37" s="5">
        <v>-174</v>
      </c>
      <c r="I37" s="5">
        <v>0</v>
      </c>
      <c r="J37" s="6">
        <v>0</v>
      </c>
      <c r="K37" s="5"/>
      <c r="L37" s="5"/>
    </row>
    <row r="38" spans="1:12" ht="15.75">
      <c r="A38" s="5" t="s">
        <v>104</v>
      </c>
      <c r="B38" s="5"/>
      <c r="C38" s="5"/>
      <c r="D38" s="5"/>
      <c r="E38" s="5"/>
      <c r="F38" s="5"/>
      <c r="G38" s="5"/>
      <c r="H38" s="10">
        <v>7685.5</v>
      </c>
      <c r="I38" s="10">
        <v>2077.9</v>
      </c>
      <c r="J38" s="6">
        <f>(H38-I38)/I38*100</f>
        <v>269.86861735405938</v>
      </c>
      <c r="K38" s="5"/>
      <c r="L38" s="5"/>
    </row>
    <row r="39" spans="1:12" ht="15.75">
      <c r="A39" s="5" t="s">
        <v>105</v>
      </c>
      <c r="B39" s="5"/>
      <c r="C39" s="5"/>
      <c r="D39" s="5"/>
      <c r="E39" s="5"/>
      <c r="F39" s="5"/>
      <c r="G39" s="5"/>
      <c r="H39" s="10">
        <v>1223.4000000000001</v>
      </c>
      <c r="I39" s="10">
        <v>7685.5</v>
      </c>
      <c r="J39" s="6">
        <f>(H39-I39)/I39*100</f>
        <v>-84.08171231539913</v>
      </c>
      <c r="K39" s="5"/>
      <c r="L39" s="5"/>
    </row>
    <row r="40" spans="1:12" ht="15.75">
      <c r="A40" s="5" t="s">
        <v>106</v>
      </c>
      <c r="B40" s="5"/>
      <c r="C40" s="5"/>
      <c r="D40" s="5"/>
      <c r="E40" s="5"/>
      <c r="F40" s="5"/>
      <c r="G40" s="5"/>
      <c r="H40" s="5"/>
      <c r="I40" s="5"/>
      <c r="J40" s="6"/>
      <c r="K40" s="5"/>
      <c r="L40" s="5"/>
    </row>
    <row r="41" spans="1:12" ht="15.75">
      <c r="A41" s="5" t="s">
        <v>107</v>
      </c>
      <c r="B41" s="5"/>
      <c r="C41" s="5"/>
      <c r="D41" s="5"/>
      <c r="E41" s="5"/>
      <c r="F41" s="5"/>
      <c r="G41" s="5"/>
      <c r="H41" s="5">
        <v>873.5</v>
      </c>
      <c r="I41" s="5">
        <v>640.79999999999995</v>
      </c>
      <c r="J41" s="6">
        <f>(H41-I41)/I41*100</f>
        <v>36.313982521847699</v>
      </c>
      <c r="K41" s="5"/>
      <c r="L41" s="5"/>
    </row>
    <row r="42" spans="1:12" ht="15.75">
      <c r="A42" s="5" t="s">
        <v>108</v>
      </c>
      <c r="B42" s="5"/>
      <c r="C42" s="5"/>
      <c r="D42" s="5"/>
      <c r="E42" s="5"/>
      <c r="F42" s="5"/>
      <c r="G42" s="5"/>
      <c r="H42" s="10">
        <v>2387.5</v>
      </c>
      <c r="I42" s="10">
        <v>1985.4</v>
      </c>
      <c r="J42" s="6">
        <f>(H42-I42)/H42*100</f>
        <v>16.841884816753925</v>
      </c>
      <c r="K42" s="5"/>
      <c r="L42" s="5"/>
    </row>
    <row r="43" spans="1:12" ht="15.75">
      <c r="A43" s="5" t="s">
        <v>184</v>
      </c>
      <c r="B43" s="5"/>
      <c r="C43" s="5"/>
      <c r="D43" s="5"/>
      <c r="E43" s="5"/>
      <c r="F43" s="5"/>
      <c r="G43" s="5"/>
      <c r="H43" s="5"/>
      <c r="I43" s="5"/>
      <c r="J43" s="5"/>
      <c r="K43" s="5"/>
      <c r="L43" s="5"/>
    </row>
    <row r="44" spans="1:12" ht="15.75">
      <c r="A44" s="5" t="s">
        <v>187</v>
      </c>
      <c r="B44" s="5"/>
      <c r="C44" s="5"/>
      <c r="D44" s="5"/>
      <c r="E44" s="5"/>
      <c r="F44" s="5"/>
      <c r="G44" s="5"/>
      <c r="H44" s="5"/>
      <c r="I44" s="5"/>
      <c r="J44" s="5"/>
      <c r="K44" s="5"/>
      <c r="L44" s="5"/>
    </row>
    <row r="45" spans="1:12" ht="15.75">
      <c r="A45" s="5"/>
      <c r="B45" s="5"/>
      <c r="C45" s="5"/>
      <c r="D45" s="5"/>
      <c r="E45" s="5"/>
      <c r="F45" s="5"/>
      <c r="G45" s="5"/>
      <c r="H45" s="5"/>
      <c r="I45" s="5"/>
      <c r="J45" s="5"/>
      <c r="K45" s="5"/>
      <c r="L45" s="5"/>
    </row>
    <row r="46" spans="1:12" ht="15.75">
      <c r="A46" s="5"/>
      <c r="B46" s="5"/>
      <c r="C46" s="5"/>
      <c r="D46" s="5"/>
      <c r="E46" s="5"/>
      <c r="F46" s="5"/>
      <c r="G46" s="5"/>
      <c r="H46" s="5"/>
      <c r="I46" s="5"/>
      <c r="J46" s="5"/>
      <c r="K46" s="5"/>
      <c r="L46"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24"/>
  <sheetViews>
    <sheetView workbookViewId="0">
      <selection activeCell="I24" sqref="I24"/>
    </sheetView>
  </sheetViews>
  <sheetFormatPr defaultRowHeight="15"/>
  <cols>
    <col min="4" max="4" width="23.85546875" customWidth="1"/>
    <col min="7" max="7" width="52.28515625" customWidth="1"/>
  </cols>
  <sheetData>
    <row r="1" spans="1:10" ht="15.75">
      <c r="A1" s="5"/>
      <c r="B1" s="5"/>
      <c r="C1" s="5"/>
      <c r="D1" s="5"/>
      <c r="E1" s="5"/>
      <c r="F1" s="5"/>
      <c r="G1" s="5"/>
      <c r="H1" s="5"/>
      <c r="I1" s="5"/>
      <c r="J1" s="5"/>
    </row>
    <row r="2" spans="1:10" ht="15.75">
      <c r="A2" s="4" t="s">
        <v>109</v>
      </c>
      <c r="B2" s="4"/>
      <c r="C2" s="4"/>
      <c r="D2" s="4"/>
      <c r="E2" s="4"/>
      <c r="F2" s="4"/>
      <c r="G2" s="4"/>
      <c r="H2" s="4"/>
      <c r="I2" s="4"/>
      <c r="J2" s="4"/>
    </row>
    <row r="3" spans="1:10" ht="15.75">
      <c r="A3" s="5"/>
      <c r="B3" s="5"/>
      <c r="C3" s="5"/>
      <c r="D3" s="5"/>
      <c r="E3" s="5"/>
      <c r="F3" s="5"/>
      <c r="G3" s="5"/>
      <c r="H3" s="5"/>
      <c r="I3" s="5"/>
      <c r="J3" s="5"/>
    </row>
    <row r="4" spans="1:10" ht="15.75">
      <c r="A4" s="4" t="s">
        <v>110</v>
      </c>
      <c r="B4" s="4"/>
      <c r="C4" s="4"/>
      <c r="D4" s="4"/>
      <c r="E4" s="4" t="s">
        <v>113</v>
      </c>
      <c r="F4" s="4"/>
      <c r="G4" s="4"/>
      <c r="H4" s="4">
        <v>2016</v>
      </c>
      <c r="I4" s="4">
        <v>2015</v>
      </c>
      <c r="J4" s="4"/>
    </row>
    <row r="5" spans="1:10" ht="15.75">
      <c r="A5" s="5"/>
      <c r="B5" s="5"/>
      <c r="C5" s="5" t="s">
        <v>111</v>
      </c>
      <c r="D5" s="5"/>
      <c r="E5" s="5" t="s">
        <v>114</v>
      </c>
      <c r="F5" s="5"/>
      <c r="G5" s="5"/>
      <c r="H5" s="6">
        <f>4848.6/3468.3</f>
        <v>1.3979759536372287</v>
      </c>
      <c r="I5" s="6">
        <f>9643/2950.4</f>
        <v>3.2683703904555315</v>
      </c>
      <c r="J5" s="5"/>
    </row>
    <row r="6" spans="1:10" ht="15.75">
      <c r="A6" s="5"/>
      <c r="B6" s="5"/>
      <c r="C6" s="5" t="s">
        <v>112</v>
      </c>
      <c r="D6" s="5"/>
      <c r="E6" s="5" t="s">
        <v>116</v>
      </c>
      <c r="F6" s="5" t="s">
        <v>115</v>
      </c>
      <c r="G6" s="5"/>
      <c r="H6" s="6">
        <f>(4848.6-58.9)/1186</f>
        <v>4.0385328836424961</v>
      </c>
      <c r="I6" s="6">
        <f>(9643-100.1)/2950.4</f>
        <v>3.2344427874186548</v>
      </c>
      <c r="J6" s="5"/>
    </row>
    <row r="7" spans="1:10" ht="15.75">
      <c r="A7" s="4" t="s">
        <v>117</v>
      </c>
      <c r="B7" s="4"/>
      <c r="C7" s="4"/>
      <c r="D7" s="4"/>
      <c r="E7" s="4"/>
      <c r="F7" s="4"/>
      <c r="G7" s="4"/>
      <c r="H7" s="4"/>
      <c r="I7" s="4"/>
      <c r="J7" s="4"/>
    </row>
    <row r="8" spans="1:10" ht="15.75">
      <c r="A8" s="5"/>
      <c r="B8" s="5"/>
      <c r="C8" s="5" t="s">
        <v>118</v>
      </c>
      <c r="D8" s="5"/>
      <c r="E8" s="5" t="s">
        <v>120</v>
      </c>
      <c r="F8" s="5"/>
      <c r="G8" s="5"/>
      <c r="H8" s="6">
        <f>15295/1474.1</f>
        <v>10.375822535784547</v>
      </c>
      <c r="I8" s="6">
        <f>16488.3/1298.7</f>
        <v>12.696003696003695</v>
      </c>
      <c r="J8" s="5"/>
    </row>
    <row r="9" spans="1:10" ht="15.75">
      <c r="A9" s="5"/>
      <c r="B9" s="5"/>
      <c r="C9" s="5" t="s">
        <v>119</v>
      </c>
      <c r="D9" s="5"/>
      <c r="E9" s="5" t="s">
        <v>121</v>
      </c>
      <c r="F9" s="5"/>
      <c r="G9" s="5"/>
      <c r="H9" s="6">
        <f>1474.1/(15295/365)</f>
        <v>35.177933965348146</v>
      </c>
      <c r="I9" s="6">
        <f>1298.7/(16488.3/365)</f>
        <v>28.749203981004715</v>
      </c>
      <c r="J9" s="5"/>
    </row>
    <row r="10" spans="1:10" ht="15.75">
      <c r="A10" s="4" t="s">
        <v>122</v>
      </c>
      <c r="B10" s="5"/>
      <c r="C10" s="5"/>
      <c r="D10" s="5"/>
      <c r="E10" s="5"/>
      <c r="F10" s="5"/>
      <c r="G10" s="5"/>
      <c r="H10" s="6"/>
      <c r="I10" s="6"/>
      <c r="J10" s="5"/>
    </row>
    <row r="11" spans="1:10" ht="15.75">
      <c r="A11" s="5"/>
      <c r="B11" s="5"/>
      <c r="C11" s="5" t="s">
        <v>123</v>
      </c>
      <c r="D11" s="5"/>
      <c r="E11" s="5" t="s">
        <v>131</v>
      </c>
      <c r="F11" s="5"/>
      <c r="G11" s="5"/>
      <c r="H11" s="6">
        <f>15295/21257.6</f>
        <v>0.71950737618545846</v>
      </c>
      <c r="I11" s="6">
        <f>16488.3/23117.6</f>
        <v>0.71323580302453549</v>
      </c>
      <c r="J11" s="5"/>
    </row>
    <row r="12" spans="1:10" ht="15.75">
      <c r="A12" s="5"/>
      <c r="B12" s="5"/>
      <c r="C12" s="5" t="s">
        <v>124</v>
      </c>
      <c r="D12" s="5"/>
      <c r="E12" s="5" t="s">
        <v>132</v>
      </c>
      <c r="F12" s="5"/>
      <c r="G12" s="5"/>
      <c r="H12" s="6">
        <f>15295/31023.9</f>
        <v>0.49300700427734745</v>
      </c>
      <c r="I12" s="6">
        <f>16488.3/37938.7</f>
        <v>0.43460371599448583</v>
      </c>
      <c r="J12" s="5"/>
    </row>
    <row r="13" spans="1:10" ht="15.75">
      <c r="A13" s="4" t="s">
        <v>125</v>
      </c>
      <c r="B13" s="4"/>
      <c r="C13" s="4"/>
      <c r="D13" s="4"/>
      <c r="E13" s="4"/>
      <c r="F13" s="4"/>
      <c r="G13" s="4"/>
      <c r="H13" s="7"/>
      <c r="I13" s="7"/>
      <c r="J13" s="4"/>
    </row>
    <row r="14" spans="1:10" ht="15.75">
      <c r="A14" s="5"/>
      <c r="B14" s="5"/>
      <c r="C14" s="5" t="s">
        <v>126</v>
      </c>
      <c r="D14" s="5"/>
      <c r="E14" s="5" t="s">
        <v>133</v>
      </c>
      <c r="F14" s="5"/>
      <c r="G14" s="5"/>
      <c r="H14" s="6">
        <f>33228.2/31023.9</f>
        <v>1.0710516730649595</v>
      </c>
      <c r="I14" s="6">
        <f>30850.8/37938.7</f>
        <v>0.81317493746491054</v>
      </c>
      <c r="J14" s="5"/>
    </row>
    <row r="15" spans="1:10" ht="15.75">
      <c r="A15" s="5"/>
      <c r="B15" s="5"/>
      <c r="C15" s="5" t="s">
        <v>127</v>
      </c>
      <c r="D15" s="5"/>
      <c r="E15" s="5" t="s">
        <v>134</v>
      </c>
      <c r="F15" s="5"/>
      <c r="G15" s="5"/>
      <c r="H15" s="6">
        <f>7744.5/884.8</f>
        <v>8.7528254972875228</v>
      </c>
      <c r="I15" s="6">
        <f>7145.5/638.3</f>
        <v>11.194579351402163</v>
      </c>
      <c r="J15" s="5"/>
    </row>
    <row r="16" spans="1:10" ht="15.75">
      <c r="A16" s="4" t="s">
        <v>128</v>
      </c>
      <c r="B16" s="4"/>
      <c r="C16" s="4"/>
      <c r="D16" s="4"/>
      <c r="E16" s="4"/>
      <c r="F16" s="4"/>
      <c r="G16" s="4"/>
      <c r="H16" s="7"/>
      <c r="I16" s="7"/>
      <c r="J16" s="4"/>
    </row>
    <row r="17" spans="1:10" ht="15.75">
      <c r="A17" s="5"/>
      <c r="B17" s="5"/>
      <c r="C17" s="5" t="s">
        <v>129</v>
      </c>
      <c r="D17" s="5"/>
      <c r="E17" s="5" t="s">
        <v>135</v>
      </c>
      <c r="F17" s="5"/>
      <c r="G17" s="5"/>
      <c r="H17" s="6">
        <f>4686.5/15295</f>
        <v>0.30640732265446224</v>
      </c>
      <c r="I17" s="6">
        <f>4529.3/16488.3</f>
        <v>0.27469781602712229</v>
      </c>
      <c r="J17" s="5"/>
    </row>
    <row r="18" spans="1:10" ht="15.75">
      <c r="A18" s="5"/>
      <c r="B18" s="5"/>
      <c r="C18" s="5" t="s">
        <v>130</v>
      </c>
      <c r="D18" s="5"/>
      <c r="E18" s="5" t="s">
        <v>136</v>
      </c>
      <c r="F18" s="5"/>
      <c r="G18" s="5"/>
      <c r="H18" s="6">
        <f>4686.5/31023.9</f>
        <v>0.15106095623051904</v>
      </c>
      <c r="I18" s="6">
        <f>4529.3/37938.7</f>
        <v>0.11938469162095698</v>
      </c>
      <c r="J18" s="5"/>
    </row>
    <row r="19" spans="1:10" ht="15.75">
      <c r="A19" s="4"/>
      <c r="B19" s="4"/>
      <c r="C19" s="5" t="s">
        <v>137</v>
      </c>
      <c r="D19" s="4"/>
      <c r="E19" s="5" t="s">
        <v>147</v>
      </c>
      <c r="F19" s="4"/>
      <c r="G19" s="4"/>
      <c r="H19" s="6">
        <f>4686.5/-2204.3</f>
        <v>-2.1260717688154966</v>
      </c>
      <c r="I19" s="6">
        <f>4529.3/7087.9</f>
        <v>0.63901860917902342</v>
      </c>
      <c r="J19" s="4"/>
    </row>
    <row r="20" spans="1:10" ht="15.75">
      <c r="A20" s="4" t="s">
        <v>138</v>
      </c>
      <c r="B20" s="4"/>
      <c r="C20" s="4"/>
      <c r="D20" s="4"/>
      <c r="E20" s="4"/>
      <c r="F20" s="4"/>
      <c r="G20" s="4"/>
      <c r="H20" s="7"/>
      <c r="I20" s="7"/>
      <c r="J20" s="4"/>
    </row>
    <row r="21" spans="1:10" ht="15.75">
      <c r="A21" s="5"/>
      <c r="B21" s="5"/>
      <c r="C21" s="5" t="s">
        <v>139</v>
      </c>
      <c r="D21" s="5"/>
      <c r="E21" s="5" t="s">
        <v>143</v>
      </c>
      <c r="F21" s="5"/>
      <c r="G21" s="5"/>
      <c r="H21" s="6">
        <f>121.72/5.49</f>
        <v>22.171220400728597</v>
      </c>
      <c r="I21" s="6">
        <f>118.14/4.82</f>
        <v>24.510373443983401</v>
      </c>
      <c r="J21" s="5"/>
    </row>
    <row r="22" spans="1:10" ht="15.75">
      <c r="A22" s="5"/>
      <c r="B22" s="5"/>
      <c r="C22" s="5" t="s">
        <v>140</v>
      </c>
      <c r="D22" s="5"/>
      <c r="E22" s="5" t="s">
        <v>144</v>
      </c>
      <c r="F22" s="5"/>
      <c r="G22" s="5"/>
      <c r="H22" s="6">
        <f>(4686.5+13185.8)/16.6</f>
        <v>1076.6445783132529</v>
      </c>
      <c r="I22" s="6">
        <f>(4529.3+14574.8)/16.6</f>
        <v>1150.8493975903611</v>
      </c>
      <c r="J22" s="5"/>
    </row>
    <row r="23" spans="1:10" ht="15.75">
      <c r="A23" s="5"/>
      <c r="B23" s="5"/>
      <c r="C23" s="5" t="s">
        <v>141</v>
      </c>
      <c r="D23" s="5"/>
      <c r="E23" s="5" t="s">
        <v>145</v>
      </c>
      <c r="F23" s="5"/>
      <c r="G23" s="5"/>
      <c r="H23" s="6">
        <f>(-2204-0)/16.6</f>
        <v>-132.77108433734938</v>
      </c>
      <c r="I23" s="6">
        <f>(7087.9 - 0)/16.6</f>
        <v>426.98192771084331</v>
      </c>
      <c r="J23" s="5"/>
    </row>
    <row r="24" spans="1:10" ht="15.75">
      <c r="A24" s="5"/>
      <c r="B24" s="5"/>
      <c r="C24" s="5" t="s">
        <v>142</v>
      </c>
      <c r="D24" s="5"/>
      <c r="E24" s="5" t="s">
        <v>146</v>
      </c>
      <c r="F24" s="5"/>
      <c r="G24" s="5"/>
      <c r="H24" s="6">
        <f>121.72/H23</f>
        <v>-0.91676588021778593</v>
      </c>
      <c r="I24" s="6">
        <f>118.14/I23</f>
        <v>0.27668618349581686</v>
      </c>
      <c r="J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13"/>
  <sheetViews>
    <sheetView workbookViewId="0">
      <selection activeCell="C17" sqref="C17"/>
    </sheetView>
  </sheetViews>
  <sheetFormatPr defaultRowHeight="15"/>
  <cols>
    <col min="4" max="4" width="16.85546875" customWidth="1"/>
    <col min="6" max="6" width="16.28515625" customWidth="1"/>
    <col min="7" max="7" width="35.5703125" customWidth="1"/>
    <col min="8" max="8" width="13" customWidth="1"/>
    <col min="9" max="9" width="16.7109375" customWidth="1"/>
  </cols>
  <sheetData>
    <row r="1" spans="1:9" ht="15.75">
      <c r="A1" s="5"/>
      <c r="B1" s="5"/>
      <c r="C1" s="5"/>
      <c r="D1" s="5"/>
      <c r="E1" s="5"/>
      <c r="F1" s="5"/>
      <c r="G1" s="5"/>
      <c r="H1" s="5"/>
      <c r="I1" s="5"/>
    </row>
    <row r="2" spans="1:9" ht="15.75">
      <c r="A2" s="4" t="s">
        <v>148</v>
      </c>
      <c r="B2" s="4"/>
      <c r="C2" s="4"/>
      <c r="D2" s="4"/>
      <c r="E2" s="4"/>
      <c r="F2" s="4"/>
      <c r="G2" s="4"/>
      <c r="H2" s="4"/>
      <c r="I2" s="4"/>
    </row>
    <row r="3" spans="1:9" ht="15.75">
      <c r="A3" s="5"/>
      <c r="B3" s="5"/>
      <c r="C3" s="5"/>
      <c r="D3" s="5"/>
      <c r="E3" s="4" t="s">
        <v>113</v>
      </c>
      <c r="F3" s="5"/>
      <c r="G3" s="5"/>
      <c r="H3" s="5"/>
      <c r="I3" s="5"/>
    </row>
    <row r="4" spans="1:9" ht="15.75">
      <c r="A4" s="5" t="s">
        <v>149</v>
      </c>
      <c r="B4" s="5"/>
      <c r="C4" s="5"/>
      <c r="D4" s="5"/>
      <c r="E4" s="5" t="s">
        <v>166</v>
      </c>
      <c r="F4" s="5"/>
      <c r="G4" s="5"/>
      <c r="H4" s="12">
        <f>0.4*(1-0.32)</f>
        <v>0.27199999999999996</v>
      </c>
      <c r="I4" s="5"/>
    </row>
    <row r="5" spans="1:9" ht="15.75">
      <c r="A5" s="5"/>
      <c r="B5" s="5"/>
      <c r="C5" s="5" t="s">
        <v>150</v>
      </c>
      <c r="D5" s="5"/>
      <c r="E5" s="5" t="s">
        <v>163</v>
      </c>
      <c r="F5" s="5"/>
      <c r="G5" s="5"/>
      <c r="H5" s="12">
        <f>884.8/-2204.3*-1</f>
        <v>0.40139726897427752</v>
      </c>
      <c r="I5" s="5"/>
    </row>
    <row r="6" spans="1:9" ht="15.75">
      <c r="A6" s="5"/>
      <c r="B6" s="5"/>
      <c r="C6" s="5" t="s">
        <v>151</v>
      </c>
      <c r="D6" s="5"/>
      <c r="E6" s="5" t="s">
        <v>164</v>
      </c>
      <c r="F6" s="5"/>
      <c r="G6" s="5"/>
      <c r="H6" s="12">
        <f>2179.5/6866</f>
        <v>0.31743373143023595</v>
      </c>
      <c r="I6" s="5"/>
    </row>
    <row r="7" spans="1:9" ht="15.75">
      <c r="A7" s="5" t="s">
        <v>154</v>
      </c>
      <c r="B7" s="5"/>
      <c r="C7" s="5"/>
      <c r="D7" s="5"/>
      <c r="E7" s="5" t="s">
        <v>167</v>
      </c>
      <c r="F7" s="5"/>
      <c r="G7" s="5"/>
      <c r="H7" s="13">
        <f>3.8/(121.72 +3.59)</f>
        <v>3.032479450961615E-2</v>
      </c>
      <c r="I7" s="5"/>
    </row>
    <row r="8" spans="1:9" ht="15.75">
      <c r="A8" s="5"/>
      <c r="B8" s="5"/>
      <c r="C8" s="5" t="s">
        <v>152</v>
      </c>
      <c r="D8" s="5"/>
      <c r="E8" s="13" t="s">
        <v>208</v>
      </c>
      <c r="F8" s="5"/>
      <c r="G8" s="5"/>
      <c r="H8" s="13">
        <f>(121.72-118.14)/118.14</f>
        <v>3.030303030303029E-2</v>
      </c>
      <c r="I8" s="5"/>
    </row>
    <row r="9" spans="1:9" ht="15.75">
      <c r="A9" s="5"/>
      <c r="B9" s="5"/>
      <c r="C9" s="5" t="s">
        <v>153</v>
      </c>
      <c r="D9" s="5"/>
      <c r="E9" s="5" t="s">
        <v>165</v>
      </c>
      <c r="F9" s="5"/>
      <c r="G9" s="5"/>
      <c r="H9" s="13">
        <f>(3.61-3.44)/3.44</f>
        <v>4.9418604651162767E-2</v>
      </c>
      <c r="I9" s="5"/>
    </row>
    <row r="10" spans="1:9" ht="15.75">
      <c r="A10" s="5" t="s">
        <v>155</v>
      </c>
      <c r="B10" s="5"/>
      <c r="C10" s="5"/>
      <c r="D10" s="5"/>
      <c r="E10" s="5"/>
      <c r="F10" s="19" t="s">
        <v>205</v>
      </c>
      <c r="G10" s="19" t="s">
        <v>206</v>
      </c>
      <c r="H10" s="19" t="s">
        <v>207</v>
      </c>
      <c r="I10" s="19" t="s">
        <v>204</v>
      </c>
    </row>
    <row r="11" spans="1:9" ht="15.75">
      <c r="A11" s="5" t="s">
        <v>202</v>
      </c>
      <c r="B11" s="5"/>
      <c r="C11" s="5"/>
      <c r="D11" s="5"/>
      <c r="E11" s="5"/>
      <c r="F11" s="5">
        <f>25878.5+2064.3</f>
        <v>27942.799999999999</v>
      </c>
      <c r="G11" s="5">
        <f>F11/(F11+F12)%</f>
        <v>99.940628196599349</v>
      </c>
      <c r="H11" s="9">
        <f>H4</f>
        <v>0.27199999999999996</v>
      </c>
      <c r="I11" s="5">
        <f>G11%*H11</f>
        <v>0.27183850869475018</v>
      </c>
    </row>
    <row r="12" spans="1:9" ht="15.75">
      <c r="A12" s="18" t="s">
        <v>203</v>
      </c>
      <c r="F12">
        <v>16.600000000000001</v>
      </c>
      <c r="G12">
        <f>F12/(F12+F11)%</f>
        <v>5.9371803400645226E-2</v>
      </c>
      <c r="H12" s="20">
        <f>H7</f>
        <v>3.032479450961615E-2</v>
      </c>
      <c r="I12">
        <f>G12%*H12</f>
        <v>1.8004377377898959E-5</v>
      </c>
    </row>
    <row r="13" spans="1:9" s="1" customFormat="1" ht="15.75">
      <c r="A13" s="21" t="s">
        <v>204</v>
      </c>
      <c r="I13" s="22">
        <f>I11+I12</f>
        <v>0.2718565130721281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9"/>
  <sheetViews>
    <sheetView workbookViewId="0">
      <selection activeCell="I5" sqref="I5"/>
    </sheetView>
  </sheetViews>
  <sheetFormatPr defaultRowHeight="15"/>
  <sheetData>
    <row r="1" spans="1:14" ht="15.75">
      <c r="A1" s="4" t="s">
        <v>156</v>
      </c>
      <c r="B1" s="4"/>
      <c r="C1" s="4"/>
      <c r="D1" s="4"/>
      <c r="E1" s="4"/>
      <c r="F1" s="4"/>
      <c r="G1" s="4"/>
      <c r="H1" s="4"/>
      <c r="I1" s="4"/>
      <c r="J1" s="4"/>
      <c r="K1" s="4"/>
      <c r="L1" s="4"/>
      <c r="M1" s="4"/>
      <c r="N1" s="4"/>
    </row>
    <row r="2" spans="1:14" ht="15.75">
      <c r="A2" s="5" t="s">
        <v>157</v>
      </c>
      <c r="B2" s="5"/>
      <c r="C2" s="5"/>
      <c r="D2" s="5"/>
      <c r="E2" s="5" t="s">
        <v>168</v>
      </c>
      <c r="F2" s="5"/>
      <c r="G2" s="5"/>
      <c r="H2" s="5"/>
      <c r="I2" s="5">
        <f>0.31*0.49*-14.07</f>
        <v>-2.1372330000000002</v>
      </c>
      <c r="J2" s="5"/>
      <c r="K2" s="5"/>
      <c r="L2" s="5"/>
      <c r="M2" s="5"/>
      <c r="N2" s="5"/>
    </row>
    <row r="3" spans="1:14" ht="15.75">
      <c r="A3" s="5" t="s">
        <v>158</v>
      </c>
      <c r="B3" s="5"/>
      <c r="C3" s="5"/>
      <c r="D3" s="5"/>
      <c r="E3" s="5" t="s">
        <v>169</v>
      </c>
      <c r="F3" s="5"/>
      <c r="G3" s="5"/>
      <c r="H3" s="5"/>
      <c r="I3" s="13">
        <f>-2.13%*99.92%</f>
        <v>-2.128296E-2</v>
      </c>
      <c r="J3" s="5"/>
      <c r="K3" s="5"/>
      <c r="L3" s="5"/>
      <c r="M3" s="5"/>
      <c r="N3" s="5"/>
    </row>
    <row r="4" spans="1:14" ht="15.75">
      <c r="A4" s="5" t="s">
        <v>159</v>
      </c>
      <c r="B4" s="5"/>
      <c r="C4" s="5"/>
      <c r="D4" s="5"/>
      <c r="E4" s="5" t="s">
        <v>170</v>
      </c>
      <c r="F4" s="5"/>
      <c r="G4" s="5"/>
      <c r="H4" s="5"/>
      <c r="I4" s="6">
        <f>121.72/13.9</f>
        <v>8.7568345323740999</v>
      </c>
      <c r="J4" s="5"/>
      <c r="K4" s="5"/>
      <c r="L4" s="5"/>
      <c r="M4" s="5"/>
      <c r="N4" s="5"/>
    </row>
    <row r="5" spans="1:14" ht="15.75">
      <c r="A5" s="5" t="s">
        <v>160</v>
      </c>
      <c r="B5" s="5"/>
      <c r="C5" s="5"/>
      <c r="D5" s="5"/>
      <c r="E5" s="5" t="s">
        <v>171</v>
      </c>
      <c r="F5" s="5"/>
      <c r="G5" s="5"/>
      <c r="H5" s="5"/>
      <c r="I5" s="5">
        <f>121.72*108.76%</f>
        <v>132.38267200000001</v>
      </c>
      <c r="J5" s="5"/>
      <c r="K5" s="5"/>
      <c r="L5" s="5"/>
      <c r="M5" s="5"/>
      <c r="N5" s="5"/>
    </row>
    <row r="6" spans="1:14" ht="15.75">
      <c r="A6" s="5" t="s">
        <v>161</v>
      </c>
      <c r="B6" s="5"/>
      <c r="C6" s="5"/>
      <c r="D6" s="5"/>
      <c r="E6" s="5"/>
      <c r="F6" s="5"/>
      <c r="G6" s="5"/>
      <c r="H6" s="5"/>
      <c r="I6" s="5"/>
      <c r="J6" s="5"/>
      <c r="K6" s="5"/>
      <c r="L6" s="5"/>
      <c r="M6" s="5"/>
      <c r="N6" s="5"/>
    </row>
    <row r="7" spans="1:14" ht="15.75">
      <c r="A7" s="5" t="s">
        <v>188</v>
      </c>
      <c r="B7" s="5"/>
      <c r="C7" s="5"/>
      <c r="D7" s="5"/>
      <c r="E7" s="5"/>
      <c r="F7" s="5"/>
      <c r="G7" s="5"/>
      <c r="H7" s="5"/>
      <c r="I7" s="5"/>
      <c r="J7" s="5"/>
      <c r="K7" s="5"/>
      <c r="L7" s="5"/>
      <c r="M7" s="5"/>
      <c r="N7" s="5"/>
    </row>
    <row r="8" spans="1:14" ht="15.75">
      <c r="A8" s="5" t="s">
        <v>172</v>
      </c>
      <c r="B8" s="5"/>
      <c r="C8" s="5"/>
      <c r="D8" s="5"/>
      <c r="E8" s="5"/>
      <c r="F8" s="5"/>
      <c r="G8" s="5"/>
      <c r="H8" s="5"/>
      <c r="I8" s="5"/>
      <c r="J8" s="5"/>
      <c r="K8" s="5"/>
      <c r="L8" s="5"/>
      <c r="M8" s="5"/>
      <c r="N8" s="5"/>
    </row>
    <row r="9" spans="1:14" ht="15.75">
      <c r="A9" s="5"/>
      <c r="B9" s="5"/>
      <c r="C9" s="5"/>
      <c r="D9" s="5"/>
      <c r="E9" s="5"/>
      <c r="F9" s="5"/>
      <c r="G9" s="5"/>
      <c r="H9" s="5"/>
      <c r="I9" s="5"/>
      <c r="J9" s="5"/>
      <c r="K9" s="5"/>
      <c r="L9" s="5"/>
      <c r="M9" s="5"/>
      <c r="N9"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O9"/>
  <sheetViews>
    <sheetView workbookViewId="0">
      <selection activeCell="D11" sqref="D11"/>
    </sheetView>
  </sheetViews>
  <sheetFormatPr defaultRowHeight="15"/>
  <sheetData>
    <row r="1" spans="1:15" ht="15.75">
      <c r="A1" s="4" t="s">
        <v>162</v>
      </c>
      <c r="B1" s="4"/>
      <c r="C1" s="4"/>
      <c r="D1" s="4"/>
      <c r="E1" s="4"/>
      <c r="F1" s="4"/>
      <c r="G1" s="4"/>
      <c r="H1" s="4"/>
      <c r="I1" s="4"/>
      <c r="J1" s="4"/>
      <c r="K1" s="4"/>
      <c r="L1" s="4"/>
      <c r="M1" s="4"/>
      <c r="N1" s="4"/>
      <c r="O1" s="4"/>
    </row>
    <row r="2" spans="1:15" ht="15.75">
      <c r="A2" s="5" t="s">
        <v>173</v>
      </c>
      <c r="B2" s="5"/>
      <c r="C2" s="5"/>
      <c r="D2" s="5"/>
      <c r="E2" s="5"/>
      <c r="F2" s="5"/>
      <c r="G2" s="5"/>
      <c r="H2" s="5"/>
      <c r="I2" s="5"/>
      <c r="J2" s="5"/>
      <c r="K2" s="5"/>
      <c r="L2" s="5"/>
      <c r="M2" s="5"/>
      <c r="N2" s="5"/>
      <c r="O2" s="5"/>
    </row>
    <row r="3" spans="1:15" ht="15.75">
      <c r="A3" s="5" t="s">
        <v>174</v>
      </c>
      <c r="B3" s="5"/>
      <c r="C3" s="5"/>
      <c r="D3" s="5"/>
      <c r="E3" s="5"/>
      <c r="F3" s="5"/>
      <c r="G3" s="5"/>
      <c r="H3" s="5"/>
      <c r="I3" s="5"/>
      <c r="J3" s="5"/>
      <c r="K3" s="5"/>
      <c r="L3" s="5"/>
      <c r="M3" s="5"/>
      <c r="N3" s="5"/>
      <c r="O3" s="5"/>
    </row>
    <row r="4" spans="1:15" ht="15.75">
      <c r="A4" s="5" t="s">
        <v>175</v>
      </c>
      <c r="B4" s="5"/>
      <c r="C4" s="5"/>
      <c r="D4" s="5"/>
      <c r="E4" s="5"/>
      <c r="F4" s="5"/>
      <c r="G4" s="5"/>
      <c r="H4" s="5"/>
      <c r="I4" s="5"/>
      <c r="J4" s="5"/>
      <c r="K4" s="5"/>
      <c r="L4" s="5"/>
      <c r="M4" s="5"/>
      <c r="N4" s="5"/>
      <c r="O4" s="5"/>
    </row>
    <row r="5" spans="1:15" ht="15.75">
      <c r="A5" s="5" t="s">
        <v>176</v>
      </c>
      <c r="B5" s="5"/>
      <c r="C5" s="5"/>
      <c r="D5" s="5"/>
      <c r="E5" s="5"/>
      <c r="F5" s="5"/>
      <c r="G5" s="5"/>
      <c r="H5" s="5"/>
      <c r="I5" s="5"/>
      <c r="J5" s="5"/>
      <c r="K5" s="5"/>
      <c r="L5" s="5"/>
      <c r="M5" s="5"/>
      <c r="N5" s="5"/>
      <c r="O5" s="5"/>
    </row>
    <row r="6" spans="1:15" ht="15.75">
      <c r="A6" s="5" t="s">
        <v>177</v>
      </c>
      <c r="B6" s="5"/>
      <c r="C6" s="5"/>
      <c r="D6" s="5"/>
      <c r="E6" s="5"/>
      <c r="F6" s="5"/>
      <c r="G6" s="5"/>
      <c r="H6" s="5"/>
      <c r="I6" s="5"/>
      <c r="J6" s="5"/>
      <c r="K6" s="5"/>
      <c r="L6" s="5"/>
      <c r="M6" s="5"/>
      <c r="N6" s="5"/>
      <c r="O6" s="5"/>
    </row>
    <row r="7" spans="1:15" ht="15.75">
      <c r="A7" s="5" t="s">
        <v>178</v>
      </c>
      <c r="B7" s="5"/>
      <c r="C7" s="5"/>
      <c r="D7" s="5"/>
      <c r="E7" s="5"/>
      <c r="F7" s="5"/>
      <c r="G7" s="5"/>
      <c r="H7" s="5"/>
      <c r="I7" s="5"/>
      <c r="J7" s="5"/>
      <c r="K7" s="5"/>
      <c r="L7" s="5"/>
      <c r="M7" s="5"/>
      <c r="N7" s="5"/>
      <c r="O7" s="5"/>
    </row>
    <row r="8" spans="1:15" ht="15.75">
      <c r="A8" s="5" t="s">
        <v>179</v>
      </c>
      <c r="B8" s="5"/>
      <c r="C8" s="5"/>
      <c r="D8" s="5"/>
      <c r="E8" s="5"/>
      <c r="F8" s="5"/>
      <c r="G8" s="5"/>
      <c r="H8" s="5"/>
      <c r="I8" s="5"/>
      <c r="J8" s="5"/>
      <c r="K8" s="5"/>
      <c r="L8" s="5"/>
      <c r="M8" s="5"/>
      <c r="N8" s="5"/>
      <c r="O8" s="5"/>
    </row>
    <row r="9" spans="1:15" ht="15.75">
      <c r="A9" s="5" t="s">
        <v>180</v>
      </c>
      <c r="B9" s="5"/>
      <c r="C9" s="5"/>
      <c r="D9" s="5"/>
      <c r="E9" s="5"/>
      <c r="F9" s="5"/>
      <c r="G9" s="5"/>
      <c r="H9" s="5"/>
      <c r="I9" s="5"/>
      <c r="J9" s="5"/>
      <c r="K9" s="5"/>
      <c r="L9" s="5"/>
      <c r="M9" s="5"/>
      <c r="N9" s="5"/>
      <c r="O9" s="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25"/>
  <sheetViews>
    <sheetView tabSelected="1" topLeftCell="A3" workbookViewId="0">
      <selection activeCell="K11" sqref="K11"/>
    </sheetView>
  </sheetViews>
  <sheetFormatPr defaultRowHeight="15"/>
  <cols>
    <col min="5" max="5" width="29" customWidth="1"/>
    <col min="6" max="6" width="23.85546875" customWidth="1"/>
    <col min="7" max="7" width="20.85546875" customWidth="1"/>
  </cols>
  <sheetData>
    <row r="1" spans="1:9" ht="15.75">
      <c r="A1" s="4" t="s">
        <v>189</v>
      </c>
      <c r="B1" s="4"/>
      <c r="C1" s="4"/>
      <c r="D1" s="4"/>
      <c r="E1" s="4"/>
      <c r="F1" s="4"/>
      <c r="G1" s="4"/>
      <c r="H1" s="4"/>
      <c r="I1" s="4"/>
    </row>
    <row r="2" spans="1:9" ht="15.75">
      <c r="A2" s="4" t="s">
        <v>190</v>
      </c>
      <c r="B2" s="4"/>
      <c r="C2" s="4"/>
      <c r="D2" s="4"/>
      <c r="E2" s="4"/>
      <c r="F2" s="4"/>
      <c r="G2" s="4" t="s">
        <v>198</v>
      </c>
      <c r="H2" s="4"/>
      <c r="I2" s="4"/>
    </row>
    <row r="3" spans="1:9" ht="15.75">
      <c r="A3" s="5" t="s">
        <v>1</v>
      </c>
      <c r="B3" s="4"/>
      <c r="C3" s="4"/>
      <c r="D3" s="4"/>
      <c r="E3" s="4"/>
      <c r="F3" s="10">
        <v>15295</v>
      </c>
      <c r="G3" s="14">
        <v>16555</v>
      </c>
      <c r="H3" s="4"/>
      <c r="I3" s="4"/>
    </row>
    <row r="4" spans="1:9" ht="15.75">
      <c r="A4" s="5" t="s">
        <v>2</v>
      </c>
      <c r="B4" s="4"/>
      <c r="C4" s="4"/>
      <c r="D4" s="4"/>
      <c r="E4" s="4"/>
      <c r="F4" s="10">
        <v>9326.9</v>
      </c>
      <c r="G4" s="14">
        <v>11125</v>
      </c>
      <c r="H4" s="4"/>
      <c r="I4" s="4"/>
    </row>
    <row r="5" spans="1:9" ht="15.75">
      <c r="A5" s="4" t="s">
        <v>3</v>
      </c>
      <c r="B5" s="4"/>
      <c r="C5" s="4"/>
      <c r="D5" s="4"/>
      <c r="E5" s="4"/>
      <c r="F5" s="11">
        <v>24621.9</v>
      </c>
      <c r="G5" s="15">
        <f>SUM(G3:G4)</f>
        <v>27680</v>
      </c>
      <c r="H5" s="4"/>
      <c r="I5" s="4"/>
    </row>
    <row r="6" spans="1:9" ht="15.75">
      <c r="A6" s="5" t="s">
        <v>4</v>
      </c>
      <c r="B6" s="4"/>
      <c r="C6" s="4"/>
      <c r="D6" s="4"/>
      <c r="E6" s="4"/>
      <c r="F6" s="4"/>
      <c r="G6" s="4"/>
      <c r="H6" s="4"/>
      <c r="I6" s="4"/>
    </row>
    <row r="7" spans="1:9" ht="15.75">
      <c r="A7" s="5" t="s">
        <v>5</v>
      </c>
      <c r="B7" s="4"/>
      <c r="C7" s="4"/>
      <c r="D7" s="4"/>
      <c r="E7" s="4"/>
      <c r="F7" s="4"/>
      <c r="G7" s="4"/>
      <c r="H7" s="4"/>
      <c r="I7" s="4"/>
    </row>
    <row r="8" spans="1:9" ht="15.75">
      <c r="A8" s="5" t="s">
        <v>6</v>
      </c>
      <c r="B8" s="4"/>
      <c r="C8" s="4"/>
      <c r="D8" s="4"/>
      <c r="E8" s="4"/>
      <c r="F8" s="10">
        <v>4896.8999999999996</v>
      </c>
      <c r="G8" s="14">
        <v>4500</v>
      </c>
      <c r="H8" s="4"/>
      <c r="I8" s="4"/>
    </row>
    <row r="9" spans="1:9" ht="15.75">
      <c r="A9" s="5" t="s">
        <v>7</v>
      </c>
      <c r="B9" s="5"/>
      <c r="C9" s="5"/>
      <c r="D9" s="5"/>
      <c r="E9" s="5"/>
      <c r="F9" s="10">
        <v>4134.2</v>
      </c>
      <c r="G9" s="14">
        <v>4800</v>
      </c>
      <c r="H9" s="5"/>
      <c r="I9" s="5"/>
    </row>
    <row r="10" spans="1:9" ht="15.75">
      <c r="A10" s="5" t="s">
        <v>8</v>
      </c>
      <c r="B10" s="5"/>
      <c r="C10" s="5"/>
      <c r="D10" s="5"/>
      <c r="E10" s="5"/>
      <c r="F10" s="10">
        <v>3667.7</v>
      </c>
      <c r="G10" s="14">
        <v>3250</v>
      </c>
      <c r="H10" s="5"/>
      <c r="I10" s="5"/>
    </row>
    <row r="11" spans="1:9" ht="15.75">
      <c r="A11" s="5" t="s">
        <v>9</v>
      </c>
      <c r="B11" s="5"/>
      <c r="C11" s="5"/>
      <c r="D11" s="5"/>
      <c r="E11" s="5"/>
      <c r="F11" s="10">
        <v>1718.4</v>
      </c>
      <c r="G11" s="14">
        <v>1600</v>
      </c>
      <c r="H11" s="5"/>
      <c r="I11" s="5"/>
    </row>
    <row r="12" spans="1:9" ht="15.75">
      <c r="A12" s="5" t="s">
        <v>10</v>
      </c>
      <c r="B12" s="5"/>
      <c r="C12" s="5"/>
      <c r="D12" s="5"/>
      <c r="E12" s="5"/>
      <c r="F12" s="10">
        <v>2384.5</v>
      </c>
      <c r="G12" s="14">
        <v>2100</v>
      </c>
      <c r="H12" s="5"/>
      <c r="I12" s="5"/>
    </row>
    <row r="13" spans="1:9" ht="15.75">
      <c r="A13" s="5" t="s">
        <v>11</v>
      </c>
      <c r="B13" s="5"/>
      <c r="C13" s="5"/>
      <c r="D13" s="5"/>
      <c r="E13" s="5"/>
      <c r="F13" s="5">
        <v>75.7</v>
      </c>
      <c r="G13" s="14">
        <v>25</v>
      </c>
      <c r="H13" s="5"/>
      <c r="I13" s="5"/>
    </row>
    <row r="14" spans="1:9" ht="15.75">
      <c r="A14" s="4" t="s">
        <v>12</v>
      </c>
      <c r="B14" s="4"/>
      <c r="C14" s="4"/>
      <c r="D14" s="4"/>
      <c r="E14" s="4"/>
      <c r="F14" s="11">
        <v>16877.400000000001</v>
      </c>
      <c r="G14" s="15">
        <f>SUM(G8:G13)</f>
        <v>16275</v>
      </c>
      <c r="H14" s="4"/>
      <c r="I14" s="4"/>
    </row>
    <row r="15" spans="1:9" ht="15.75">
      <c r="A15" s="4" t="s">
        <v>13</v>
      </c>
      <c r="B15" s="4"/>
      <c r="C15" s="4"/>
      <c r="D15" s="4"/>
      <c r="E15" s="4"/>
      <c r="F15" s="11">
        <v>7744.5</v>
      </c>
      <c r="G15" s="15">
        <f>G5-G14</f>
        <v>11405</v>
      </c>
      <c r="H15" s="4"/>
      <c r="I15" s="4"/>
    </row>
    <row r="16" spans="1:9" ht="15.75">
      <c r="A16" s="5" t="s">
        <v>14</v>
      </c>
      <c r="B16" s="5"/>
      <c r="C16" s="5"/>
      <c r="D16" s="5"/>
      <c r="E16" s="5"/>
      <c r="F16" s="5">
        <v>884.8</v>
      </c>
      <c r="G16" s="14">
        <v>500</v>
      </c>
      <c r="H16" s="5"/>
      <c r="I16" s="5"/>
    </row>
    <row r="17" spans="1:9" ht="15.75">
      <c r="A17" s="5" t="s">
        <v>15</v>
      </c>
      <c r="B17" s="5"/>
      <c r="C17" s="5"/>
      <c r="D17" s="5"/>
      <c r="E17" s="5"/>
      <c r="F17" s="5">
        <v>-6.3</v>
      </c>
      <c r="G17" s="14">
        <v>0</v>
      </c>
      <c r="H17" s="5"/>
      <c r="I17" s="5"/>
    </row>
    <row r="18" spans="1:9" ht="15.75">
      <c r="A18" s="4" t="s">
        <v>16</v>
      </c>
      <c r="B18" s="4"/>
      <c r="C18" s="4"/>
      <c r="D18" s="4"/>
      <c r="E18" s="4"/>
      <c r="F18" s="11">
        <v>6866</v>
      </c>
      <c r="G18" s="15">
        <f>G15-G16</f>
        <v>10905</v>
      </c>
      <c r="H18" s="4"/>
      <c r="I18" s="4"/>
    </row>
    <row r="19" spans="1:9" ht="15.75">
      <c r="A19" s="5" t="s">
        <v>17</v>
      </c>
      <c r="B19" s="5"/>
      <c r="C19" s="5"/>
      <c r="D19" s="5"/>
      <c r="E19" s="5"/>
      <c r="F19" s="10">
        <v>2179.5</v>
      </c>
      <c r="G19" s="5">
        <f>32%*10905</f>
        <v>3489.6</v>
      </c>
      <c r="H19" s="5"/>
      <c r="I19" s="5"/>
    </row>
    <row r="20" spans="1:9" ht="15.75">
      <c r="A20" s="5" t="s">
        <v>18</v>
      </c>
      <c r="B20" s="5"/>
      <c r="C20" s="5"/>
      <c r="D20" s="5"/>
      <c r="E20" s="5"/>
      <c r="F20" s="16">
        <v>4686.5</v>
      </c>
      <c r="G20" s="14">
        <f>G18-G19</f>
        <v>7415.4</v>
      </c>
      <c r="H20" s="5"/>
      <c r="I20" s="5"/>
    </row>
    <row r="21" spans="1:9" ht="15.75">
      <c r="A21" s="5" t="s">
        <v>191</v>
      </c>
      <c r="B21" s="5"/>
      <c r="C21" s="5"/>
      <c r="D21" s="5"/>
      <c r="E21" s="5"/>
      <c r="F21" s="16">
        <v>5.49</v>
      </c>
      <c r="G21" s="16">
        <v>6.5</v>
      </c>
      <c r="H21" s="5"/>
      <c r="I21" s="5"/>
    </row>
    <row r="22" spans="1:9" ht="15.75">
      <c r="A22" s="5" t="s">
        <v>192</v>
      </c>
      <c r="B22" s="5"/>
      <c r="C22" s="5"/>
      <c r="D22" s="5"/>
      <c r="E22" s="5"/>
      <c r="F22" s="16">
        <v>5.44</v>
      </c>
      <c r="G22" s="16">
        <v>6</v>
      </c>
      <c r="H22" s="5"/>
      <c r="I22" s="5"/>
    </row>
    <row r="23" spans="1:9" ht="15.75">
      <c r="A23" s="5" t="s">
        <v>193</v>
      </c>
      <c r="B23" s="5"/>
      <c r="C23" s="5"/>
      <c r="D23" s="5"/>
      <c r="E23" s="5"/>
      <c r="F23" s="16">
        <v>3.61</v>
      </c>
      <c r="G23" s="16">
        <v>3.8</v>
      </c>
      <c r="H23" s="5"/>
      <c r="I23" s="5"/>
    </row>
    <row r="24" spans="1:9" ht="15.75">
      <c r="A24" s="5" t="s">
        <v>194</v>
      </c>
      <c r="B24" s="5"/>
      <c r="C24" s="5"/>
      <c r="D24" s="5"/>
      <c r="E24" s="5"/>
      <c r="F24" s="5">
        <v>854.4</v>
      </c>
      <c r="G24" s="17">
        <v>854.4</v>
      </c>
      <c r="H24" s="5"/>
      <c r="I24" s="5"/>
    </row>
    <row r="25" spans="1:9" ht="15.75">
      <c r="A25" s="5" t="s">
        <v>195</v>
      </c>
      <c r="B25" s="5"/>
      <c r="C25" s="5"/>
      <c r="D25" s="5"/>
      <c r="E25" s="5"/>
      <c r="F25" s="5">
        <v>861.2</v>
      </c>
      <c r="G25" s="16">
        <v>861.2</v>
      </c>
      <c r="H25" s="5"/>
      <c r="I2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Documetation </vt:lpstr>
      <vt:lpstr>Sheet1</vt:lpstr>
      <vt:lpstr>Sheet2</vt:lpstr>
      <vt:lpstr>Sheet3</vt:lpstr>
      <vt:lpstr>Sheet4</vt:lpstr>
      <vt:lpstr>Sheet5</vt:lpstr>
      <vt:lpstr>Sheet6</vt:lpstr>
      <vt:lpstr>Sheet7</vt:lpstr>
      <vt:lpstr>Sheet8</vt:lpstr>
      <vt:lpstr>Sheet9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dc:creator>
  <cp:lastModifiedBy>lawrence</cp:lastModifiedBy>
  <dcterms:created xsi:type="dcterms:W3CDTF">2017-06-19T10:50:15Z</dcterms:created>
  <dcterms:modified xsi:type="dcterms:W3CDTF">2017-06-20T10:19:18Z</dcterms:modified>
</cp:coreProperties>
</file>